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2"/>
  <workbookPr codeName="ThisWorkbook"/>
  <mc:AlternateContent xmlns:mc="http://schemas.openxmlformats.org/markup-compatibility/2006">
    <mc:Choice Requires="x15">
      <x15ac:absPath xmlns:x15ac="http://schemas.microsoft.com/office/spreadsheetml/2010/11/ac" url="C:\Utveckling\sirena\sirena\etc\templates\"/>
    </mc:Choice>
  </mc:AlternateContent>
  <xr:revisionPtr revIDLastSave="0" documentId="13_ncr:1_{10301BB4-4D4B-4F04-AC2C-672599E3E2ED}" xr6:coauthVersionLast="36" xr6:coauthVersionMax="36" xr10:uidLastSave="{00000000-0000-0000-0000-000000000000}"/>
  <bookViews>
    <workbookView xWindow="7980" yWindow="2775" windowWidth="4305" windowHeight="3120" tabRatio="572" activeTab="1" xr2:uid="{00000000-000D-0000-FFFF-FFFF00000000}"/>
  </bookViews>
  <sheets>
    <sheet name="stat_uppg" sheetId="2" r:id="rId1"/>
    <sheet name="mwreg" sheetId="1" r:id="rId2"/>
    <sheet name="mwreg_en" sheetId="15" r:id="rId3"/>
    <sheet name="mwreg_rh2000" sheetId="14" r:id="rId4"/>
    <sheet name="QC" sheetId="22" r:id="rId5"/>
  </sheets>
  <definedNames>
    <definedName name="_xlnm._FilterDatabase" localSheetId="0" hidden="1">stat_uppg!$Q$1:$Q$93</definedName>
  </definedNames>
  <calcPr calcId="191029"/>
</workbook>
</file>

<file path=xl/calcChain.xml><?xml version="1.0" encoding="utf-8"?>
<calcChain xmlns="http://schemas.openxmlformats.org/spreadsheetml/2006/main">
  <c r="C10" i="1" l="1"/>
  <c r="C105" i="14" l="1"/>
  <c r="C104" i="14"/>
  <c r="C100" i="14"/>
  <c r="C89" i="14"/>
  <c r="C85" i="14"/>
  <c r="C77" i="14"/>
  <c r="C72" i="14"/>
  <c r="C71" i="14"/>
  <c r="C47" i="14"/>
  <c r="C44" i="14"/>
  <c r="C42" i="14"/>
  <c r="C41" i="14"/>
  <c r="C39" i="14"/>
  <c r="C36" i="14"/>
  <c r="C30" i="14"/>
  <c r="C28" i="14"/>
  <c r="C18" i="14"/>
  <c r="C15" i="14"/>
  <c r="C13" i="14"/>
  <c r="C11" i="14"/>
  <c r="E9" i="2" l="1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A26" i="14" l="1"/>
  <c r="B26" i="14"/>
  <c r="AO214" i="22"/>
  <c r="AO215" i="22"/>
  <c r="AO216" i="22"/>
  <c r="AO217" i="22"/>
  <c r="AF218" i="22"/>
  <c r="AO218" i="22"/>
  <c r="AO219" i="22"/>
  <c r="AO220" i="22"/>
  <c r="AO221" i="22"/>
  <c r="AN222" i="22"/>
  <c r="AO222" i="22"/>
  <c r="AO223" i="22"/>
  <c r="AO224" i="22"/>
  <c r="AO225" i="22"/>
  <c r="W214" i="22"/>
  <c r="X214" i="22"/>
  <c r="Y214" i="22"/>
  <c r="Z214" i="22"/>
  <c r="AA214" i="22"/>
  <c r="AB214" i="22"/>
  <c r="W215" i="22"/>
  <c r="X215" i="22"/>
  <c r="Y215" i="22"/>
  <c r="Z215" i="22"/>
  <c r="AA215" i="22"/>
  <c r="AB215" i="22"/>
  <c r="W216" i="22"/>
  <c r="X216" i="22"/>
  <c r="Y216" i="22"/>
  <c r="Z216" i="22"/>
  <c r="AA216" i="22"/>
  <c r="AB216" i="22"/>
  <c r="W217" i="22"/>
  <c r="X217" i="22"/>
  <c r="Y217" i="22"/>
  <c r="Z217" i="22"/>
  <c r="AA217" i="22"/>
  <c r="AB217" i="22"/>
  <c r="W218" i="22"/>
  <c r="X218" i="22"/>
  <c r="Y218" i="22"/>
  <c r="Z218" i="22"/>
  <c r="AA218" i="22"/>
  <c r="AB218" i="22"/>
  <c r="W219" i="22"/>
  <c r="X219" i="22"/>
  <c r="Y219" i="22"/>
  <c r="Z219" i="22"/>
  <c r="AA219" i="22"/>
  <c r="AB219" i="22"/>
  <c r="W220" i="22"/>
  <c r="X220" i="22"/>
  <c r="Y220" i="22"/>
  <c r="Z220" i="22"/>
  <c r="AA220" i="22"/>
  <c r="AB220" i="22"/>
  <c r="W221" i="22"/>
  <c r="X221" i="22"/>
  <c r="Y221" i="22"/>
  <c r="Z221" i="22"/>
  <c r="AA221" i="22"/>
  <c r="AB221" i="22"/>
  <c r="W222" i="22"/>
  <c r="X222" i="22"/>
  <c r="Y222" i="22"/>
  <c r="Z222" i="22"/>
  <c r="AA222" i="22"/>
  <c r="AB222" i="22"/>
  <c r="W223" i="22"/>
  <c r="X223" i="22"/>
  <c r="Y223" i="22"/>
  <c r="Z223" i="22"/>
  <c r="AA223" i="22"/>
  <c r="AB223" i="22"/>
  <c r="W224" i="22"/>
  <c r="X224" i="22"/>
  <c r="Y224" i="22"/>
  <c r="Z224" i="22"/>
  <c r="AA224" i="22"/>
  <c r="AB224" i="22"/>
  <c r="W225" i="22"/>
  <c r="X225" i="22"/>
  <c r="Y225" i="22"/>
  <c r="Z225" i="22"/>
  <c r="AA225" i="22"/>
  <c r="AB225" i="22"/>
  <c r="I215" i="22"/>
  <c r="J215" i="22"/>
  <c r="K215" i="22"/>
  <c r="L215" i="22"/>
  <c r="AF215" i="22" s="1"/>
  <c r="M215" i="22"/>
  <c r="AG215" i="22" s="1"/>
  <c r="N215" i="22"/>
  <c r="AH215" i="22" s="1"/>
  <c r="O215" i="22"/>
  <c r="AI215" i="22" s="1"/>
  <c r="P215" i="22"/>
  <c r="AJ215" i="22" s="1"/>
  <c r="Q215" i="22"/>
  <c r="AK215" i="22" s="1"/>
  <c r="R215" i="22"/>
  <c r="AL215" i="22" s="1"/>
  <c r="S215" i="22"/>
  <c r="AM215" i="22" s="1"/>
  <c r="T215" i="22"/>
  <c r="AN215" i="22" s="1"/>
  <c r="I216" i="22"/>
  <c r="J216" i="22"/>
  <c r="K216" i="22"/>
  <c r="L216" i="22"/>
  <c r="AF216" i="22" s="1"/>
  <c r="M216" i="22"/>
  <c r="AG216" i="22" s="1"/>
  <c r="N216" i="22"/>
  <c r="AH216" i="22" s="1"/>
  <c r="O216" i="22"/>
  <c r="AI216" i="22" s="1"/>
  <c r="P216" i="22"/>
  <c r="AJ216" i="22" s="1"/>
  <c r="Q216" i="22"/>
  <c r="AK216" i="22" s="1"/>
  <c r="R216" i="22"/>
  <c r="AL216" i="22" s="1"/>
  <c r="S216" i="22"/>
  <c r="AM216" i="22" s="1"/>
  <c r="T216" i="22"/>
  <c r="AN216" i="22" s="1"/>
  <c r="I217" i="22"/>
  <c r="J217" i="22"/>
  <c r="K217" i="22"/>
  <c r="L217" i="22"/>
  <c r="AF217" i="22" s="1"/>
  <c r="M217" i="22"/>
  <c r="AG217" i="22" s="1"/>
  <c r="N217" i="22"/>
  <c r="AH217" i="22" s="1"/>
  <c r="O217" i="22"/>
  <c r="AI217" i="22" s="1"/>
  <c r="P217" i="22"/>
  <c r="AJ217" i="22" s="1"/>
  <c r="Q217" i="22"/>
  <c r="AK217" i="22" s="1"/>
  <c r="R217" i="22"/>
  <c r="AL217" i="22" s="1"/>
  <c r="S217" i="22"/>
  <c r="AM217" i="22" s="1"/>
  <c r="T217" i="22"/>
  <c r="AN217" i="22" s="1"/>
  <c r="I218" i="22"/>
  <c r="J218" i="22"/>
  <c r="K218" i="22"/>
  <c r="L218" i="22"/>
  <c r="M218" i="22"/>
  <c r="AG218" i="22" s="1"/>
  <c r="N218" i="22"/>
  <c r="AH218" i="22" s="1"/>
  <c r="O218" i="22"/>
  <c r="AI218" i="22" s="1"/>
  <c r="P218" i="22"/>
  <c r="AJ218" i="22" s="1"/>
  <c r="Q218" i="22"/>
  <c r="AK218" i="22" s="1"/>
  <c r="R218" i="22"/>
  <c r="AL218" i="22" s="1"/>
  <c r="S218" i="22"/>
  <c r="AM218" i="22" s="1"/>
  <c r="T218" i="22"/>
  <c r="AN218" i="22" s="1"/>
  <c r="I219" i="22"/>
  <c r="J219" i="22"/>
  <c r="K219" i="22"/>
  <c r="L219" i="22"/>
  <c r="AF219" i="22" s="1"/>
  <c r="M219" i="22"/>
  <c r="AG219" i="22" s="1"/>
  <c r="N219" i="22"/>
  <c r="AH219" i="22" s="1"/>
  <c r="O219" i="22"/>
  <c r="AI219" i="22" s="1"/>
  <c r="P219" i="22"/>
  <c r="AJ219" i="22" s="1"/>
  <c r="Q219" i="22"/>
  <c r="AK219" i="22" s="1"/>
  <c r="R219" i="22"/>
  <c r="AL219" i="22" s="1"/>
  <c r="S219" i="22"/>
  <c r="AM219" i="22" s="1"/>
  <c r="T219" i="22"/>
  <c r="AN219" i="22" s="1"/>
  <c r="I220" i="22"/>
  <c r="J220" i="22"/>
  <c r="K220" i="22"/>
  <c r="L220" i="22"/>
  <c r="AF220" i="22" s="1"/>
  <c r="M220" i="22"/>
  <c r="AG220" i="22" s="1"/>
  <c r="N220" i="22"/>
  <c r="AH220" i="22" s="1"/>
  <c r="O220" i="22"/>
  <c r="AI220" i="22" s="1"/>
  <c r="P220" i="22"/>
  <c r="AJ220" i="22" s="1"/>
  <c r="Q220" i="22"/>
  <c r="AK220" i="22" s="1"/>
  <c r="R220" i="22"/>
  <c r="AL220" i="22" s="1"/>
  <c r="S220" i="22"/>
  <c r="AM220" i="22" s="1"/>
  <c r="T220" i="22"/>
  <c r="AN220" i="22" s="1"/>
  <c r="I221" i="22"/>
  <c r="J221" i="22"/>
  <c r="K221" i="22"/>
  <c r="L221" i="22"/>
  <c r="AF221" i="22" s="1"/>
  <c r="M221" i="22"/>
  <c r="AG221" i="22" s="1"/>
  <c r="N221" i="22"/>
  <c r="AH221" i="22" s="1"/>
  <c r="O221" i="22"/>
  <c r="AI221" i="22" s="1"/>
  <c r="P221" i="22"/>
  <c r="AJ221" i="22" s="1"/>
  <c r="Q221" i="22"/>
  <c r="AK221" i="22" s="1"/>
  <c r="R221" i="22"/>
  <c r="AL221" i="22" s="1"/>
  <c r="S221" i="22"/>
  <c r="AM221" i="22" s="1"/>
  <c r="T221" i="22"/>
  <c r="AN221" i="22" s="1"/>
  <c r="I222" i="22"/>
  <c r="J222" i="22"/>
  <c r="K222" i="22"/>
  <c r="L222" i="22"/>
  <c r="AF222" i="22" s="1"/>
  <c r="M222" i="22"/>
  <c r="AG222" i="22" s="1"/>
  <c r="N222" i="22"/>
  <c r="AH222" i="22" s="1"/>
  <c r="O222" i="22"/>
  <c r="AI222" i="22" s="1"/>
  <c r="P222" i="22"/>
  <c r="AJ222" i="22" s="1"/>
  <c r="Q222" i="22"/>
  <c r="AK222" i="22" s="1"/>
  <c r="R222" i="22"/>
  <c r="AL222" i="22" s="1"/>
  <c r="S222" i="22"/>
  <c r="AM222" i="22" s="1"/>
  <c r="T222" i="22"/>
  <c r="I223" i="22"/>
  <c r="J223" i="22"/>
  <c r="K223" i="22"/>
  <c r="L223" i="22"/>
  <c r="AF223" i="22" s="1"/>
  <c r="M223" i="22"/>
  <c r="AG223" i="22" s="1"/>
  <c r="N223" i="22"/>
  <c r="AH223" i="22" s="1"/>
  <c r="O223" i="22"/>
  <c r="AI223" i="22" s="1"/>
  <c r="P223" i="22"/>
  <c r="AJ223" i="22" s="1"/>
  <c r="Q223" i="22"/>
  <c r="AK223" i="22" s="1"/>
  <c r="R223" i="22"/>
  <c r="AL223" i="22" s="1"/>
  <c r="S223" i="22"/>
  <c r="AM223" i="22" s="1"/>
  <c r="T223" i="22"/>
  <c r="AN223" i="22" s="1"/>
  <c r="I224" i="22"/>
  <c r="J224" i="22"/>
  <c r="K224" i="22"/>
  <c r="L224" i="22"/>
  <c r="AF224" i="22" s="1"/>
  <c r="M224" i="22"/>
  <c r="AG224" i="22" s="1"/>
  <c r="N224" i="22"/>
  <c r="AH224" i="22" s="1"/>
  <c r="O224" i="22"/>
  <c r="AI224" i="22" s="1"/>
  <c r="P224" i="22"/>
  <c r="AJ224" i="22" s="1"/>
  <c r="Q224" i="22"/>
  <c r="AK224" i="22" s="1"/>
  <c r="R224" i="22"/>
  <c r="AL224" i="22" s="1"/>
  <c r="S224" i="22"/>
  <c r="AM224" i="22" s="1"/>
  <c r="T224" i="22"/>
  <c r="AN224" i="22" s="1"/>
  <c r="I225" i="22"/>
  <c r="J225" i="22"/>
  <c r="K225" i="22"/>
  <c r="L225" i="22"/>
  <c r="AF225" i="22" s="1"/>
  <c r="M225" i="22"/>
  <c r="AG225" i="22" s="1"/>
  <c r="N225" i="22"/>
  <c r="AH225" i="22" s="1"/>
  <c r="O225" i="22"/>
  <c r="AI225" i="22" s="1"/>
  <c r="P225" i="22"/>
  <c r="AJ225" i="22" s="1"/>
  <c r="Q225" i="22"/>
  <c r="AK225" i="22" s="1"/>
  <c r="R225" i="22"/>
  <c r="AL225" i="22" s="1"/>
  <c r="S225" i="22"/>
  <c r="AM225" i="22" s="1"/>
  <c r="T225" i="22"/>
  <c r="AN225" i="22" s="1"/>
  <c r="T214" i="22"/>
  <c r="AN214" i="22" s="1"/>
  <c r="S214" i="22"/>
  <c r="AM214" i="22" s="1"/>
  <c r="R214" i="22"/>
  <c r="AL214" i="22" s="1"/>
  <c r="Q214" i="22"/>
  <c r="AK214" i="22" s="1"/>
  <c r="P214" i="22"/>
  <c r="AJ214" i="22" s="1"/>
  <c r="O214" i="22"/>
  <c r="AI214" i="22" s="1"/>
  <c r="N214" i="22"/>
  <c r="AH214" i="22" s="1"/>
  <c r="M214" i="22"/>
  <c r="AG214" i="22" s="1"/>
  <c r="L214" i="22"/>
  <c r="AF214" i="22" s="1"/>
  <c r="L226" i="22"/>
  <c r="K214" i="22"/>
  <c r="J214" i="22"/>
  <c r="I214" i="22"/>
  <c r="I226" i="22"/>
  <c r="B214" i="22"/>
  <c r="A214" i="22"/>
  <c r="T227" i="22"/>
  <c r="T228" i="22"/>
  <c r="T229" i="22"/>
  <c r="T230" i="22"/>
  <c r="T231" i="22"/>
  <c r="T232" i="22"/>
  <c r="T233" i="22"/>
  <c r="T234" i="22"/>
  <c r="T235" i="22"/>
  <c r="T236" i="22"/>
  <c r="T237" i="22"/>
  <c r="T226" i="22"/>
  <c r="R227" i="22"/>
  <c r="S227" i="22"/>
  <c r="R228" i="22"/>
  <c r="S228" i="22"/>
  <c r="R229" i="22"/>
  <c r="S229" i="22"/>
  <c r="R230" i="22"/>
  <c r="S230" i="22"/>
  <c r="R231" i="22"/>
  <c r="S231" i="22"/>
  <c r="R232" i="22"/>
  <c r="S232" i="22"/>
  <c r="R233" i="22"/>
  <c r="S233" i="22"/>
  <c r="R234" i="22"/>
  <c r="S234" i="22"/>
  <c r="R235" i="22"/>
  <c r="S235" i="22"/>
  <c r="R236" i="22"/>
  <c r="S236" i="22"/>
  <c r="R237" i="22"/>
  <c r="S237" i="22"/>
  <c r="S226" i="22"/>
  <c r="R226" i="22"/>
  <c r="O227" i="22"/>
  <c r="P227" i="22"/>
  <c r="Q227" i="22"/>
  <c r="O228" i="22"/>
  <c r="P228" i="22"/>
  <c r="Q228" i="22"/>
  <c r="O229" i="22"/>
  <c r="P229" i="22"/>
  <c r="Q229" i="22"/>
  <c r="O230" i="22"/>
  <c r="P230" i="22"/>
  <c r="Q230" i="22"/>
  <c r="O231" i="22"/>
  <c r="P231" i="22"/>
  <c r="Q231" i="22"/>
  <c r="O232" i="22"/>
  <c r="P232" i="22"/>
  <c r="Q232" i="22"/>
  <c r="O233" i="22"/>
  <c r="P233" i="22"/>
  <c r="Q233" i="22"/>
  <c r="O234" i="22"/>
  <c r="P234" i="22"/>
  <c r="Q234" i="22"/>
  <c r="O235" i="22"/>
  <c r="P235" i="22"/>
  <c r="Q235" i="22"/>
  <c r="O236" i="22"/>
  <c r="P236" i="22"/>
  <c r="Q236" i="22"/>
  <c r="O237" i="22"/>
  <c r="P237" i="22"/>
  <c r="Q237" i="22"/>
  <c r="Q226" i="22"/>
  <c r="P226" i="22"/>
  <c r="O226" i="22"/>
  <c r="N227" i="22"/>
  <c r="N228" i="22"/>
  <c r="N229" i="22"/>
  <c r="N230" i="22"/>
  <c r="N231" i="22"/>
  <c r="N232" i="22"/>
  <c r="N233" i="22"/>
  <c r="N234" i="22"/>
  <c r="N235" i="22"/>
  <c r="N236" i="22"/>
  <c r="N237" i="22"/>
  <c r="N226" i="22"/>
  <c r="M227" i="22"/>
  <c r="M228" i="22"/>
  <c r="M229" i="22"/>
  <c r="M230" i="22"/>
  <c r="M231" i="22"/>
  <c r="M232" i="22"/>
  <c r="M233" i="22"/>
  <c r="M234" i="22"/>
  <c r="M235" i="22"/>
  <c r="M236" i="22"/>
  <c r="M237" i="22"/>
  <c r="M226" i="22"/>
  <c r="L227" i="22"/>
  <c r="L228" i="22"/>
  <c r="L229" i="22"/>
  <c r="L230" i="22"/>
  <c r="L231" i="22"/>
  <c r="L232" i="22"/>
  <c r="L233" i="22"/>
  <c r="L234" i="22"/>
  <c r="L235" i="22"/>
  <c r="L236" i="22"/>
  <c r="L237" i="22"/>
  <c r="J227" i="22"/>
  <c r="K227" i="22"/>
  <c r="J228" i="22"/>
  <c r="K228" i="22"/>
  <c r="J229" i="22"/>
  <c r="K229" i="22"/>
  <c r="J230" i="22"/>
  <c r="K230" i="22"/>
  <c r="J231" i="22"/>
  <c r="K231" i="22"/>
  <c r="J232" i="22"/>
  <c r="K232" i="22"/>
  <c r="J233" i="22"/>
  <c r="K233" i="22"/>
  <c r="J234" i="22"/>
  <c r="K234" i="22"/>
  <c r="J235" i="22"/>
  <c r="K235" i="22"/>
  <c r="J236" i="22"/>
  <c r="K236" i="22"/>
  <c r="J237" i="22"/>
  <c r="K237" i="22"/>
  <c r="K226" i="22"/>
  <c r="J226" i="22"/>
  <c r="I227" i="22"/>
  <c r="I228" i="22"/>
  <c r="I229" i="22"/>
  <c r="I230" i="22"/>
  <c r="I231" i="22"/>
  <c r="I232" i="22"/>
  <c r="I233" i="22"/>
  <c r="I234" i="22"/>
  <c r="I235" i="22"/>
  <c r="I236" i="22"/>
  <c r="I237" i="22"/>
  <c r="A26" i="1"/>
  <c r="A26" i="15" s="1"/>
  <c r="B26" i="1"/>
  <c r="B26" i="15" s="1"/>
  <c r="C26" i="1"/>
  <c r="C26" i="15" s="1"/>
  <c r="D26" i="1"/>
  <c r="D26" i="15" s="1"/>
  <c r="N27" i="2"/>
  <c r="O27" i="2"/>
  <c r="U26" i="2"/>
  <c r="O26" i="2" s="1"/>
  <c r="T26" i="2"/>
  <c r="N26" i="2" s="1"/>
  <c r="L26" i="2"/>
  <c r="I26" i="2" l="1"/>
  <c r="B11" i="1" l="1"/>
  <c r="N10" i="2" l="1"/>
  <c r="O10" i="2"/>
  <c r="N11" i="2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N18" i="2"/>
  <c r="O18" i="2"/>
  <c r="N19" i="2"/>
  <c r="O19" i="2"/>
  <c r="N20" i="2"/>
  <c r="O20" i="2"/>
  <c r="N21" i="2"/>
  <c r="O21" i="2"/>
  <c r="N22" i="2"/>
  <c r="O22" i="2"/>
  <c r="N23" i="2"/>
  <c r="O23" i="2"/>
  <c r="N24" i="2"/>
  <c r="O24" i="2"/>
  <c r="N25" i="2"/>
  <c r="O25" i="2"/>
  <c r="N28" i="2"/>
  <c r="O28" i="2"/>
  <c r="N29" i="2"/>
  <c r="O29" i="2"/>
  <c r="N30" i="2"/>
  <c r="O30" i="2"/>
  <c r="N31" i="2"/>
  <c r="O31" i="2"/>
  <c r="N32" i="2"/>
  <c r="O32" i="2"/>
  <c r="N33" i="2"/>
  <c r="O33" i="2"/>
  <c r="N34" i="2"/>
  <c r="O34" i="2"/>
  <c r="N35" i="2"/>
  <c r="O35" i="2"/>
  <c r="N36" i="2"/>
  <c r="O36" i="2"/>
  <c r="N37" i="2"/>
  <c r="O37" i="2"/>
  <c r="N38" i="2"/>
  <c r="O38" i="2"/>
  <c r="N39" i="2"/>
  <c r="O39" i="2"/>
  <c r="N40" i="2"/>
  <c r="O40" i="2"/>
  <c r="N41" i="2"/>
  <c r="O41" i="2"/>
  <c r="N42" i="2"/>
  <c r="O42" i="2"/>
  <c r="N43" i="2"/>
  <c r="O43" i="2"/>
  <c r="N44" i="2"/>
  <c r="O44" i="2"/>
  <c r="N45" i="2"/>
  <c r="O45" i="2"/>
  <c r="N46" i="2"/>
  <c r="O46" i="2"/>
  <c r="N47" i="2"/>
  <c r="O47" i="2"/>
  <c r="N48" i="2"/>
  <c r="O48" i="2"/>
  <c r="N49" i="2"/>
  <c r="O49" i="2"/>
  <c r="N50" i="2"/>
  <c r="O50" i="2"/>
  <c r="N51" i="2"/>
  <c r="O51" i="2"/>
  <c r="N52" i="2"/>
  <c r="O52" i="2"/>
  <c r="N53" i="2"/>
  <c r="O53" i="2"/>
  <c r="N54" i="2"/>
  <c r="O54" i="2"/>
  <c r="N55" i="2"/>
  <c r="O55" i="2"/>
  <c r="N56" i="2"/>
  <c r="O56" i="2"/>
  <c r="N57" i="2"/>
  <c r="O57" i="2"/>
  <c r="N58" i="2"/>
  <c r="O58" i="2"/>
  <c r="N59" i="2"/>
  <c r="O59" i="2"/>
  <c r="N60" i="2"/>
  <c r="O60" i="2"/>
  <c r="N61" i="2"/>
  <c r="O61" i="2"/>
  <c r="N62" i="2"/>
  <c r="O62" i="2"/>
  <c r="N63" i="2"/>
  <c r="O63" i="2"/>
  <c r="N64" i="2"/>
  <c r="O64" i="2"/>
  <c r="N65" i="2"/>
  <c r="O65" i="2"/>
  <c r="N66" i="2"/>
  <c r="O66" i="2"/>
  <c r="N67" i="2"/>
  <c r="O67" i="2"/>
  <c r="N68" i="2"/>
  <c r="O68" i="2"/>
  <c r="N69" i="2"/>
  <c r="O69" i="2"/>
  <c r="N70" i="2"/>
  <c r="O70" i="2"/>
  <c r="N71" i="2"/>
  <c r="O71" i="2"/>
  <c r="N72" i="2"/>
  <c r="O72" i="2"/>
  <c r="N73" i="2"/>
  <c r="O73" i="2"/>
  <c r="N74" i="2"/>
  <c r="O74" i="2"/>
  <c r="N75" i="2"/>
  <c r="O75" i="2"/>
  <c r="N76" i="2"/>
  <c r="O76" i="2"/>
  <c r="N77" i="2"/>
  <c r="O77" i="2"/>
  <c r="N78" i="2"/>
  <c r="O78" i="2"/>
  <c r="N79" i="2"/>
  <c r="O79" i="2"/>
  <c r="N80" i="2"/>
  <c r="O80" i="2"/>
  <c r="N81" i="2"/>
  <c r="O81" i="2"/>
  <c r="N82" i="2"/>
  <c r="O82" i="2"/>
  <c r="N83" i="2"/>
  <c r="O83" i="2"/>
  <c r="N84" i="2"/>
  <c r="O84" i="2"/>
  <c r="O9" i="2"/>
  <c r="N9" i="2"/>
  <c r="M9" i="2" l="1"/>
  <c r="M49" i="2"/>
  <c r="M12" i="2"/>
  <c r="M48" i="2"/>
  <c r="H36" i="2"/>
  <c r="G36" i="2"/>
  <c r="AG791" i="22" l="1"/>
  <c r="AH791" i="22"/>
  <c r="AO791" i="22"/>
  <c r="AG792" i="22"/>
  <c r="AH792" i="22"/>
  <c r="AO792" i="22"/>
  <c r="AG793" i="22"/>
  <c r="AH793" i="22"/>
  <c r="AO793" i="22"/>
  <c r="AG794" i="22"/>
  <c r="AH794" i="22"/>
  <c r="AO794" i="22"/>
  <c r="AG795" i="22"/>
  <c r="AH795" i="22"/>
  <c r="AO795" i="22"/>
  <c r="AG796" i="22"/>
  <c r="AH796" i="22"/>
  <c r="AO796" i="22"/>
  <c r="AG797" i="22"/>
  <c r="AH797" i="22"/>
  <c r="AO797" i="22"/>
  <c r="AG798" i="22"/>
  <c r="AH798" i="22"/>
  <c r="AO798" i="22"/>
  <c r="AG799" i="22"/>
  <c r="AH799" i="22"/>
  <c r="AO799" i="22"/>
  <c r="AG800" i="22"/>
  <c r="AH800" i="22"/>
  <c r="AO800" i="22"/>
  <c r="AG801" i="22"/>
  <c r="AH801" i="22"/>
  <c r="AO801" i="22"/>
  <c r="AG790" i="22"/>
  <c r="AH790" i="22"/>
  <c r="AO790" i="22"/>
  <c r="X790" i="22"/>
  <c r="Y790" i="22"/>
  <c r="Z790" i="22"/>
  <c r="AA790" i="22"/>
  <c r="AB790" i="22"/>
  <c r="X791" i="22"/>
  <c r="Y791" i="22"/>
  <c r="Z791" i="22"/>
  <c r="AA791" i="22"/>
  <c r="AB791" i="22"/>
  <c r="X792" i="22"/>
  <c r="Y792" i="22"/>
  <c r="Z792" i="22"/>
  <c r="AA792" i="22"/>
  <c r="AB792" i="22"/>
  <c r="X793" i="22"/>
  <c r="Y793" i="22"/>
  <c r="Z793" i="22"/>
  <c r="AA793" i="22"/>
  <c r="AB793" i="22"/>
  <c r="X794" i="22"/>
  <c r="Y794" i="22"/>
  <c r="Z794" i="22"/>
  <c r="AA794" i="22"/>
  <c r="AB794" i="22"/>
  <c r="X795" i="22"/>
  <c r="Y795" i="22"/>
  <c r="Z795" i="22"/>
  <c r="AA795" i="22"/>
  <c r="AB795" i="22"/>
  <c r="X796" i="22"/>
  <c r="Y796" i="22"/>
  <c r="Z796" i="22"/>
  <c r="AA796" i="22"/>
  <c r="AB796" i="22"/>
  <c r="X797" i="22"/>
  <c r="Y797" i="22"/>
  <c r="Z797" i="22"/>
  <c r="AA797" i="22"/>
  <c r="AB797" i="22"/>
  <c r="X798" i="22"/>
  <c r="Y798" i="22"/>
  <c r="Z798" i="22"/>
  <c r="AA798" i="22"/>
  <c r="AB798" i="22"/>
  <c r="X799" i="22"/>
  <c r="Y799" i="22"/>
  <c r="Z799" i="22"/>
  <c r="AA799" i="22"/>
  <c r="AB799" i="22"/>
  <c r="X800" i="22"/>
  <c r="Y800" i="22"/>
  <c r="Z800" i="22"/>
  <c r="AA800" i="22"/>
  <c r="AB800" i="22"/>
  <c r="X801" i="22"/>
  <c r="Y801" i="22"/>
  <c r="Z801" i="22"/>
  <c r="AA801" i="22"/>
  <c r="AB801" i="22"/>
  <c r="W791" i="22"/>
  <c r="W792" i="22"/>
  <c r="W793" i="22"/>
  <c r="W794" i="22"/>
  <c r="W795" i="22"/>
  <c r="W796" i="22"/>
  <c r="W797" i="22"/>
  <c r="W798" i="22"/>
  <c r="W799" i="22"/>
  <c r="W800" i="22"/>
  <c r="W801" i="22"/>
  <c r="W790" i="22"/>
  <c r="B790" i="22"/>
  <c r="B802" i="22"/>
  <c r="A790" i="22"/>
  <c r="A802" i="22"/>
  <c r="M863" i="22" l="1"/>
  <c r="N863" i="22"/>
  <c r="O863" i="22"/>
  <c r="P863" i="22"/>
  <c r="Q863" i="22"/>
  <c r="R863" i="22"/>
  <c r="S863" i="22"/>
  <c r="T863" i="22"/>
  <c r="M864" i="22"/>
  <c r="N864" i="22"/>
  <c r="O864" i="22"/>
  <c r="P864" i="22"/>
  <c r="Q864" i="22"/>
  <c r="R864" i="22"/>
  <c r="S864" i="22"/>
  <c r="T864" i="22"/>
  <c r="M865" i="22"/>
  <c r="N865" i="22"/>
  <c r="O865" i="22"/>
  <c r="P865" i="22"/>
  <c r="Q865" i="22"/>
  <c r="R865" i="22"/>
  <c r="S865" i="22"/>
  <c r="T865" i="22"/>
  <c r="M866" i="22"/>
  <c r="N866" i="22"/>
  <c r="O866" i="22"/>
  <c r="P866" i="22"/>
  <c r="Q866" i="22"/>
  <c r="R866" i="22"/>
  <c r="S866" i="22"/>
  <c r="T866" i="22"/>
  <c r="M867" i="22"/>
  <c r="N867" i="22"/>
  <c r="O867" i="22"/>
  <c r="P867" i="22"/>
  <c r="Q867" i="22"/>
  <c r="R867" i="22"/>
  <c r="S867" i="22"/>
  <c r="T867" i="22"/>
  <c r="M868" i="22"/>
  <c r="N868" i="22"/>
  <c r="O868" i="22"/>
  <c r="P868" i="22"/>
  <c r="Q868" i="22"/>
  <c r="R868" i="22"/>
  <c r="S868" i="22"/>
  <c r="T868" i="22"/>
  <c r="M869" i="22"/>
  <c r="N869" i="22"/>
  <c r="O869" i="22"/>
  <c r="P869" i="22"/>
  <c r="Q869" i="22"/>
  <c r="R869" i="22"/>
  <c r="S869" i="22"/>
  <c r="T869" i="22"/>
  <c r="M870" i="22"/>
  <c r="N870" i="22"/>
  <c r="O870" i="22"/>
  <c r="P870" i="22"/>
  <c r="Q870" i="22"/>
  <c r="R870" i="22"/>
  <c r="S870" i="22"/>
  <c r="T870" i="22"/>
  <c r="M871" i="22"/>
  <c r="N871" i="22"/>
  <c r="O871" i="22"/>
  <c r="P871" i="22"/>
  <c r="Q871" i="22"/>
  <c r="R871" i="22"/>
  <c r="S871" i="22"/>
  <c r="T871" i="22"/>
  <c r="M872" i="22"/>
  <c r="N872" i="22"/>
  <c r="O872" i="22"/>
  <c r="P872" i="22"/>
  <c r="Q872" i="22"/>
  <c r="R872" i="22"/>
  <c r="S872" i="22"/>
  <c r="T872" i="22"/>
  <c r="M873" i="22"/>
  <c r="N873" i="22"/>
  <c r="O873" i="22"/>
  <c r="P873" i="22"/>
  <c r="Q873" i="22"/>
  <c r="R873" i="22"/>
  <c r="S873" i="22"/>
  <c r="T873" i="22"/>
  <c r="T862" i="22"/>
  <c r="Q862" i="22"/>
  <c r="S862" i="22"/>
  <c r="R862" i="22"/>
  <c r="P862" i="22"/>
  <c r="O862" i="22"/>
  <c r="M862" i="22"/>
  <c r="N862" i="22"/>
  <c r="O851" i="22"/>
  <c r="P851" i="22"/>
  <c r="Q851" i="22"/>
  <c r="R851" i="22"/>
  <c r="S851" i="22"/>
  <c r="T851" i="22"/>
  <c r="O852" i="22"/>
  <c r="P852" i="22"/>
  <c r="Q852" i="22"/>
  <c r="R852" i="22"/>
  <c r="S852" i="22"/>
  <c r="T852" i="22"/>
  <c r="O853" i="22"/>
  <c r="P853" i="22"/>
  <c r="Q853" i="22"/>
  <c r="R853" i="22"/>
  <c r="S853" i="22"/>
  <c r="T853" i="22"/>
  <c r="O854" i="22"/>
  <c r="P854" i="22"/>
  <c r="Q854" i="22"/>
  <c r="R854" i="22"/>
  <c r="S854" i="22"/>
  <c r="T854" i="22"/>
  <c r="O855" i="22"/>
  <c r="P855" i="22"/>
  <c r="Q855" i="22"/>
  <c r="R855" i="22"/>
  <c r="S855" i="22"/>
  <c r="T855" i="22"/>
  <c r="O856" i="22"/>
  <c r="P856" i="22"/>
  <c r="Q856" i="22"/>
  <c r="R856" i="22"/>
  <c r="S856" i="22"/>
  <c r="T856" i="22"/>
  <c r="O857" i="22"/>
  <c r="P857" i="22"/>
  <c r="Q857" i="22"/>
  <c r="R857" i="22"/>
  <c r="S857" i="22"/>
  <c r="T857" i="22"/>
  <c r="O858" i="22"/>
  <c r="P858" i="22"/>
  <c r="Q858" i="22"/>
  <c r="R858" i="22"/>
  <c r="S858" i="22"/>
  <c r="T858" i="22"/>
  <c r="O859" i="22"/>
  <c r="P859" i="22"/>
  <c r="Q859" i="22"/>
  <c r="R859" i="22"/>
  <c r="S859" i="22"/>
  <c r="T859" i="22"/>
  <c r="O860" i="22"/>
  <c r="P860" i="22"/>
  <c r="Q860" i="22"/>
  <c r="R860" i="22"/>
  <c r="S860" i="22"/>
  <c r="T860" i="22"/>
  <c r="O861" i="22"/>
  <c r="P861" i="22"/>
  <c r="Q861" i="22"/>
  <c r="R861" i="22"/>
  <c r="S861" i="22"/>
  <c r="T861" i="22"/>
  <c r="T850" i="22"/>
  <c r="Q850" i="22"/>
  <c r="S850" i="22"/>
  <c r="R850" i="22"/>
  <c r="P850" i="22"/>
  <c r="O850" i="22"/>
  <c r="O815" i="22"/>
  <c r="P815" i="22"/>
  <c r="Q815" i="22"/>
  <c r="R815" i="22"/>
  <c r="S815" i="22"/>
  <c r="T815" i="22"/>
  <c r="O816" i="22"/>
  <c r="P816" i="22"/>
  <c r="Q816" i="22"/>
  <c r="R816" i="22"/>
  <c r="S816" i="22"/>
  <c r="T816" i="22"/>
  <c r="O817" i="22"/>
  <c r="P817" i="22"/>
  <c r="Q817" i="22"/>
  <c r="R817" i="22"/>
  <c r="S817" i="22"/>
  <c r="T817" i="22"/>
  <c r="O818" i="22"/>
  <c r="P818" i="22"/>
  <c r="Q818" i="22"/>
  <c r="R818" i="22"/>
  <c r="S818" i="22"/>
  <c r="T818" i="22"/>
  <c r="O819" i="22"/>
  <c r="P819" i="22"/>
  <c r="Q819" i="22"/>
  <c r="R819" i="22"/>
  <c r="S819" i="22"/>
  <c r="T819" i="22"/>
  <c r="O820" i="22"/>
  <c r="P820" i="22"/>
  <c r="Q820" i="22"/>
  <c r="R820" i="22"/>
  <c r="S820" i="22"/>
  <c r="T820" i="22"/>
  <c r="O821" i="22"/>
  <c r="P821" i="22"/>
  <c r="Q821" i="22"/>
  <c r="R821" i="22"/>
  <c r="S821" i="22"/>
  <c r="T821" i="22"/>
  <c r="O822" i="22"/>
  <c r="P822" i="22"/>
  <c r="Q822" i="22"/>
  <c r="R822" i="22"/>
  <c r="S822" i="22"/>
  <c r="T822" i="22"/>
  <c r="O823" i="22"/>
  <c r="P823" i="22"/>
  <c r="Q823" i="22"/>
  <c r="R823" i="22"/>
  <c r="S823" i="22"/>
  <c r="T823" i="22"/>
  <c r="O824" i="22"/>
  <c r="P824" i="22"/>
  <c r="Q824" i="22"/>
  <c r="R824" i="22"/>
  <c r="S824" i="22"/>
  <c r="T824" i="22"/>
  <c r="O825" i="22"/>
  <c r="P825" i="22"/>
  <c r="Q825" i="22"/>
  <c r="R825" i="22"/>
  <c r="S825" i="22"/>
  <c r="T825" i="22"/>
  <c r="T814" i="22"/>
  <c r="Q814" i="22"/>
  <c r="S814" i="22"/>
  <c r="R814" i="22"/>
  <c r="P814" i="22"/>
  <c r="O814" i="22"/>
  <c r="O803" i="22"/>
  <c r="P803" i="22"/>
  <c r="Q803" i="22"/>
  <c r="R803" i="22"/>
  <c r="S803" i="22"/>
  <c r="T803" i="22"/>
  <c r="T791" i="22" s="1"/>
  <c r="AN791" i="22" s="1"/>
  <c r="O804" i="22"/>
  <c r="P804" i="22"/>
  <c r="Q804" i="22"/>
  <c r="R804" i="22"/>
  <c r="S804" i="22"/>
  <c r="T804" i="22"/>
  <c r="T792" i="22" s="1"/>
  <c r="AN792" i="22" s="1"/>
  <c r="O805" i="22"/>
  <c r="P805" i="22"/>
  <c r="Q805" i="22"/>
  <c r="R805" i="22"/>
  <c r="S805" i="22"/>
  <c r="T805" i="22"/>
  <c r="T793" i="22" s="1"/>
  <c r="AN793" i="22" s="1"/>
  <c r="O806" i="22"/>
  <c r="P806" i="22"/>
  <c r="Q806" i="22"/>
  <c r="R806" i="22"/>
  <c r="S806" i="22"/>
  <c r="T806" i="22"/>
  <c r="T794" i="22" s="1"/>
  <c r="AN794" i="22" s="1"/>
  <c r="O807" i="22"/>
  <c r="P807" i="22"/>
  <c r="Q807" i="22"/>
  <c r="R807" i="22"/>
  <c r="S807" i="22"/>
  <c r="T807" i="22"/>
  <c r="T795" i="22" s="1"/>
  <c r="AN795" i="22" s="1"/>
  <c r="O808" i="22"/>
  <c r="P808" i="22"/>
  <c r="Q808" i="22"/>
  <c r="R808" i="22"/>
  <c r="S808" i="22"/>
  <c r="T808" i="22"/>
  <c r="T796" i="22" s="1"/>
  <c r="AN796" i="22" s="1"/>
  <c r="O809" i="22"/>
  <c r="P809" i="22"/>
  <c r="Q809" i="22"/>
  <c r="R809" i="22"/>
  <c r="S809" i="22"/>
  <c r="T809" i="22"/>
  <c r="T797" i="22" s="1"/>
  <c r="AN797" i="22" s="1"/>
  <c r="O810" i="22"/>
  <c r="P810" i="22"/>
  <c r="Q810" i="22"/>
  <c r="R810" i="22"/>
  <c r="S810" i="22"/>
  <c r="T810" i="22"/>
  <c r="T798" i="22" s="1"/>
  <c r="AN798" i="22" s="1"/>
  <c r="O811" i="22"/>
  <c r="P811" i="22"/>
  <c r="Q811" i="22"/>
  <c r="R811" i="22"/>
  <c r="S811" i="22"/>
  <c r="T811" i="22"/>
  <c r="T799" i="22" s="1"/>
  <c r="AN799" i="22" s="1"/>
  <c r="O812" i="22"/>
  <c r="P812" i="22"/>
  <c r="Q812" i="22"/>
  <c r="R812" i="22"/>
  <c r="S812" i="22"/>
  <c r="T812" i="22"/>
  <c r="T800" i="22" s="1"/>
  <c r="AN800" i="22" s="1"/>
  <c r="O813" i="22"/>
  <c r="P813" i="22"/>
  <c r="Q813" i="22"/>
  <c r="R813" i="22"/>
  <c r="S813" i="22"/>
  <c r="T813" i="22"/>
  <c r="T801" i="22" s="1"/>
  <c r="AN801" i="22" s="1"/>
  <c r="T802" i="22"/>
  <c r="T790" i="22" s="1"/>
  <c r="AN790" i="22" s="1"/>
  <c r="Q802" i="22"/>
  <c r="P802" i="22"/>
  <c r="R802" i="22"/>
  <c r="S802" i="22"/>
  <c r="O802" i="22"/>
  <c r="T779" i="22"/>
  <c r="T780" i="22"/>
  <c r="T781" i="22"/>
  <c r="T782" i="22"/>
  <c r="T783" i="22"/>
  <c r="T784" i="22"/>
  <c r="T785" i="22"/>
  <c r="T786" i="22"/>
  <c r="T787" i="22"/>
  <c r="T788" i="22"/>
  <c r="T789" i="22"/>
  <c r="T778" i="22"/>
  <c r="O755" i="22"/>
  <c r="P755" i="22"/>
  <c r="Q755" i="22"/>
  <c r="R755" i="22"/>
  <c r="S755" i="22"/>
  <c r="T755" i="22"/>
  <c r="O756" i="22"/>
  <c r="P756" i="22"/>
  <c r="Q756" i="22"/>
  <c r="R756" i="22"/>
  <c r="S756" i="22"/>
  <c r="T756" i="22"/>
  <c r="O757" i="22"/>
  <c r="P757" i="22"/>
  <c r="Q757" i="22"/>
  <c r="R757" i="22"/>
  <c r="S757" i="22"/>
  <c r="T757" i="22"/>
  <c r="O758" i="22"/>
  <c r="P758" i="22"/>
  <c r="Q758" i="22"/>
  <c r="R758" i="22"/>
  <c r="S758" i="22"/>
  <c r="T758" i="22"/>
  <c r="O759" i="22"/>
  <c r="P759" i="22"/>
  <c r="Q759" i="22"/>
  <c r="R759" i="22"/>
  <c r="S759" i="22"/>
  <c r="T759" i="22"/>
  <c r="O760" i="22"/>
  <c r="P760" i="22"/>
  <c r="Q760" i="22"/>
  <c r="R760" i="22"/>
  <c r="S760" i="22"/>
  <c r="T760" i="22"/>
  <c r="O761" i="22"/>
  <c r="P761" i="22"/>
  <c r="Q761" i="22"/>
  <c r="R761" i="22"/>
  <c r="S761" i="22"/>
  <c r="T761" i="22"/>
  <c r="O762" i="22"/>
  <c r="P762" i="22"/>
  <c r="Q762" i="22"/>
  <c r="R762" i="22"/>
  <c r="S762" i="22"/>
  <c r="T762" i="22"/>
  <c r="O763" i="22"/>
  <c r="P763" i="22"/>
  <c r="Q763" i="22"/>
  <c r="R763" i="22"/>
  <c r="S763" i="22"/>
  <c r="T763" i="22"/>
  <c r="O764" i="22"/>
  <c r="P764" i="22"/>
  <c r="Q764" i="22"/>
  <c r="R764" i="22"/>
  <c r="S764" i="22"/>
  <c r="T764" i="22"/>
  <c r="O765" i="22"/>
  <c r="P765" i="22"/>
  <c r="Q765" i="22"/>
  <c r="R765" i="22"/>
  <c r="S765" i="22"/>
  <c r="T765" i="22"/>
  <c r="T754" i="22"/>
  <c r="Q754" i="22"/>
  <c r="S754" i="22"/>
  <c r="R754" i="22"/>
  <c r="P754" i="22"/>
  <c r="O754" i="22"/>
  <c r="O743" i="22"/>
  <c r="P743" i="22"/>
  <c r="Q743" i="22"/>
  <c r="R743" i="22"/>
  <c r="S743" i="22"/>
  <c r="T743" i="22"/>
  <c r="O744" i="22"/>
  <c r="P744" i="22"/>
  <c r="Q744" i="22"/>
  <c r="R744" i="22"/>
  <c r="S744" i="22"/>
  <c r="T744" i="22"/>
  <c r="O745" i="22"/>
  <c r="P745" i="22"/>
  <c r="Q745" i="22"/>
  <c r="R745" i="22"/>
  <c r="S745" i="22"/>
  <c r="T745" i="22"/>
  <c r="O746" i="22"/>
  <c r="P746" i="22"/>
  <c r="Q746" i="22"/>
  <c r="R746" i="22"/>
  <c r="S746" i="22"/>
  <c r="T746" i="22"/>
  <c r="O747" i="22"/>
  <c r="P747" i="22"/>
  <c r="Q747" i="22"/>
  <c r="R747" i="22"/>
  <c r="S747" i="22"/>
  <c r="T747" i="22"/>
  <c r="O748" i="22"/>
  <c r="P748" i="22"/>
  <c r="Q748" i="22"/>
  <c r="R748" i="22"/>
  <c r="S748" i="22"/>
  <c r="T748" i="22"/>
  <c r="O749" i="22"/>
  <c r="P749" i="22"/>
  <c r="Q749" i="22"/>
  <c r="R749" i="22"/>
  <c r="S749" i="22"/>
  <c r="T749" i="22"/>
  <c r="O750" i="22"/>
  <c r="P750" i="22"/>
  <c r="Q750" i="22"/>
  <c r="R750" i="22"/>
  <c r="S750" i="22"/>
  <c r="T750" i="22"/>
  <c r="O751" i="22"/>
  <c r="P751" i="22"/>
  <c r="Q751" i="22"/>
  <c r="R751" i="22"/>
  <c r="S751" i="22"/>
  <c r="T751" i="22"/>
  <c r="O752" i="22"/>
  <c r="P752" i="22"/>
  <c r="Q752" i="22"/>
  <c r="R752" i="22"/>
  <c r="S752" i="22"/>
  <c r="T752" i="22"/>
  <c r="O753" i="22"/>
  <c r="P753" i="22"/>
  <c r="Q753" i="22"/>
  <c r="R753" i="22"/>
  <c r="S753" i="22"/>
  <c r="T753" i="22"/>
  <c r="T742" i="22"/>
  <c r="Q742" i="22"/>
  <c r="S742" i="22"/>
  <c r="R742" i="22"/>
  <c r="P742" i="22"/>
  <c r="O742" i="22"/>
  <c r="O731" i="22"/>
  <c r="P731" i="22"/>
  <c r="Q731" i="22"/>
  <c r="R731" i="22"/>
  <c r="S731" i="22"/>
  <c r="T731" i="22"/>
  <c r="O732" i="22"/>
  <c r="P732" i="22"/>
  <c r="Q732" i="22"/>
  <c r="R732" i="22"/>
  <c r="S732" i="22"/>
  <c r="T732" i="22"/>
  <c r="O733" i="22"/>
  <c r="P733" i="22"/>
  <c r="Q733" i="22"/>
  <c r="R733" i="22"/>
  <c r="S733" i="22"/>
  <c r="T733" i="22"/>
  <c r="O734" i="22"/>
  <c r="P734" i="22"/>
  <c r="Q734" i="22"/>
  <c r="R734" i="22"/>
  <c r="S734" i="22"/>
  <c r="T734" i="22"/>
  <c r="O735" i="22"/>
  <c r="P735" i="22"/>
  <c r="Q735" i="22"/>
  <c r="R735" i="22"/>
  <c r="S735" i="22"/>
  <c r="T735" i="22"/>
  <c r="O736" i="22"/>
  <c r="P736" i="22"/>
  <c r="Q736" i="22"/>
  <c r="R736" i="22"/>
  <c r="S736" i="22"/>
  <c r="T736" i="22"/>
  <c r="O737" i="22"/>
  <c r="P737" i="22"/>
  <c r="Q737" i="22"/>
  <c r="R737" i="22"/>
  <c r="S737" i="22"/>
  <c r="T737" i="22"/>
  <c r="O738" i="22"/>
  <c r="P738" i="22"/>
  <c r="Q738" i="22"/>
  <c r="R738" i="22"/>
  <c r="S738" i="22"/>
  <c r="T738" i="22"/>
  <c r="O739" i="22"/>
  <c r="P739" i="22"/>
  <c r="Q739" i="22"/>
  <c r="R739" i="22"/>
  <c r="S739" i="22"/>
  <c r="T739" i="22"/>
  <c r="O740" i="22"/>
  <c r="P740" i="22"/>
  <c r="Q740" i="22"/>
  <c r="R740" i="22"/>
  <c r="S740" i="22"/>
  <c r="T740" i="22"/>
  <c r="O741" i="22"/>
  <c r="P741" i="22"/>
  <c r="Q741" i="22"/>
  <c r="R741" i="22"/>
  <c r="S741" i="22"/>
  <c r="T741" i="22"/>
  <c r="T730" i="22"/>
  <c r="Q730" i="22"/>
  <c r="S730" i="22"/>
  <c r="R730" i="22"/>
  <c r="P730" i="22"/>
  <c r="O730" i="22"/>
  <c r="O695" i="22"/>
  <c r="O707" i="22" s="1"/>
  <c r="P695" i="22"/>
  <c r="P707" i="22" s="1"/>
  <c r="Q695" i="22"/>
  <c r="Q707" i="22" s="1"/>
  <c r="R695" i="22"/>
  <c r="R707" i="22" s="1"/>
  <c r="S695" i="22"/>
  <c r="S707" i="22" s="1"/>
  <c r="T695" i="22"/>
  <c r="T707" i="22" s="1"/>
  <c r="O696" i="22"/>
  <c r="O708" i="22" s="1"/>
  <c r="P696" i="22"/>
  <c r="P708" i="22" s="1"/>
  <c r="Q696" i="22"/>
  <c r="Q708" i="22" s="1"/>
  <c r="R696" i="22"/>
  <c r="R708" i="22" s="1"/>
  <c r="S696" i="22"/>
  <c r="S708" i="22" s="1"/>
  <c r="T696" i="22"/>
  <c r="T708" i="22" s="1"/>
  <c r="O697" i="22"/>
  <c r="O709" i="22" s="1"/>
  <c r="P697" i="22"/>
  <c r="P709" i="22" s="1"/>
  <c r="Q697" i="22"/>
  <c r="Q709" i="22" s="1"/>
  <c r="R697" i="22"/>
  <c r="R709" i="22" s="1"/>
  <c r="S697" i="22"/>
  <c r="S709" i="22" s="1"/>
  <c r="T697" i="22"/>
  <c r="T709" i="22" s="1"/>
  <c r="O698" i="22"/>
  <c r="O710" i="22" s="1"/>
  <c r="P698" i="22"/>
  <c r="P710" i="22" s="1"/>
  <c r="Q698" i="22"/>
  <c r="Q710" i="22" s="1"/>
  <c r="R698" i="22"/>
  <c r="R710" i="22" s="1"/>
  <c r="S698" i="22"/>
  <c r="S710" i="22" s="1"/>
  <c r="T698" i="22"/>
  <c r="T710" i="22" s="1"/>
  <c r="O699" i="22"/>
  <c r="O711" i="22" s="1"/>
  <c r="P699" i="22"/>
  <c r="P711" i="22" s="1"/>
  <c r="Q699" i="22"/>
  <c r="Q711" i="22" s="1"/>
  <c r="R699" i="22"/>
  <c r="R711" i="22" s="1"/>
  <c r="S699" i="22"/>
  <c r="S711" i="22" s="1"/>
  <c r="T699" i="22"/>
  <c r="T711" i="22" s="1"/>
  <c r="O700" i="22"/>
  <c r="O712" i="22" s="1"/>
  <c r="P700" i="22"/>
  <c r="P712" i="22" s="1"/>
  <c r="Q700" i="22"/>
  <c r="Q712" i="22" s="1"/>
  <c r="R700" i="22"/>
  <c r="R712" i="22" s="1"/>
  <c r="S700" i="22"/>
  <c r="S712" i="22" s="1"/>
  <c r="T700" i="22"/>
  <c r="T712" i="22" s="1"/>
  <c r="O701" i="22"/>
  <c r="O713" i="22" s="1"/>
  <c r="P701" i="22"/>
  <c r="P713" i="22" s="1"/>
  <c r="Q701" i="22"/>
  <c r="Q713" i="22" s="1"/>
  <c r="R701" i="22"/>
  <c r="R713" i="22" s="1"/>
  <c r="S701" i="22"/>
  <c r="S713" i="22" s="1"/>
  <c r="T701" i="22"/>
  <c r="T713" i="22" s="1"/>
  <c r="O702" i="22"/>
  <c r="O714" i="22" s="1"/>
  <c r="P702" i="22"/>
  <c r="P714" i="22" s="1"/>
  <c r="Q702" i="22"/>
  <c r="Q714" i="22" s="1"/>
  <c r="R702" i="22"/>
  <c r="R714" i="22" s="1"/>
  <c r="S702" i="22"/>
  <c r="S714" i="22" s="1"/>
  <c r="T702" i="22"/>
  <c r="T714" i="22" s="1"/>
  <c r="O703" i="22"/>
  <c r="O715" i="22" s="1"/>
  <c r="P703" i="22"/>
  <c r="P715" i="22" s="1"/>
  <c r="Q703" i="22"/>
  <c r="Q715" i="22" s="1"/>
  <c r="R703" i="22"/>
  <c r="R715" i="22" s="1"/>
  <c r="S703" i="22"/>
  <c r="S715" i="22" s="1"/>
  <c r="T703" i="22"/>
  <c r="T715" i="22" s="1"/>
  <c r="O704" i="22"/>
  <c r="O716" i="22" s="1"/>
  <c r="P704" i="22"/>
  <c r="P716" i="22" s="1"/>
  <c r="Q704" i="22"/>
  <c r="Q716" i="22" s="1"/>
  <c r="R704" i="22"/>
  <c r="R716" i="22" s="1"/>
  <c r="S704" i="22"/>
  <c r="S716" i="22" s="1"/>
  <c r="T704" i="22"/>
  <c r="T716" i="22" s="1"/>
  <c r="O705" i="22"/>
  <c r="O717" i="22" s="1"/>
  <c r="P705" i="22"/>
  <c r="P717" i="22" s="1"/>
  <c r="Q705" i="22"/>
  <c r="Q717" i="22" s="1"/>
  <c r="R705" i="22"/>
  <c r="R717" i="22" s="1"/>
  <c r="S705" i="22"/>
  <c r="S717" i="22" s="1"/>
  <c r="T705" i="22"/>
  <c r="T717" i="22" s="1"/>
  <c r="T694" i="22"/>
  <c r="T706" i="22" s="1"/>
  <c r="S694" i="22"/>
  <c r="S706" i="22" s="1"/>
  <c r="R694" i="22"/>
  <c r="R706" i="22" s="1"/>
  <c r="Q694" i="22"/>
  <c r="Q706" i="22" s="1"/>
  <c r="P694" i="22"/>
  <c r="P706" i="22" s="1"/>
  <c r="O694" i="22"/>
  <c r="O706" i="22" s="1"/>
  <c r="O683" i="22"/>
  <c r="P683" i="22"/>
  <c r="Q683" i="22"/>
  <c r="R683" i="22"/>
  <c r="S683" i="22"/>
  <c r="T683" i="22"/>
  <c r="O684" i="22"/>
  <c r="P684" i="22"/>
  <c r="Q684" i="22"/>
  <c r="R684" i="22"/>
  <c r="S684" i="22"/>
  <c r="T684" i="22"/>
  <c r="O685" i="22"/>
  <c r="P685" i="22"/>
  <c r="Q685" i="22"/>
  <c r="R685" i="22"/>
  <c r="S685" i="22"/>
  <c r="T685" i="22"/>
  <c r="O686" i="22"/>
  <c r="P686" i="22"/>
  <c r="Q686" i="22"/>
  <c r="R686" i="22"/>
  <c r="S686" i="22"/>
  <c r="T686" i="22"/>
  <c r="O687" i="22"/>
  <c r="P687" i="22"/>
  <c r="Q687" i="22"/>
  <c r="R687" i="22"/>
  <c r="S687" i="22"/>
  <c r="T687" i="22"/>
  <c r="O688" i="22"/>
  <c r="P688" i="22"/>
  <c r="Q688" i="22"/>
  <c r="R688" i="22"/>
  <c r="S688" i="22"/>
  <c r="T688" i="22"/>
  <c r="O689" i="22"/>
  <c r="P689" i="22"/>
  <c r="Q689" i="22"/>
  <c r="R689" i="22"/>
  <c r="S689" i="22"/>
  <c r="T689" i="22"/>
  <c r="O690" i="22"/>
  <c r="P690" i="22"/>
  <c r="Q690" i="22"/>
  <c r="R690" i="22"/>
  <c r="S690" i="22"/>
  <c r="T690" i="22"/>
  <c r="O691" i="22"/>
  <c r="P691" i="22"/>
  <c r="Q691" i="22"/>
  <c r="R691" i="22"/>
  <c r="S691" i="22"/>
  <c r="T691" i="22"/>
  <c r="O692" i="22"/>
  <c r="P692" i="22"/>
  <c r="Q692" i="22"/>
  <c r="R692" i="22"/>
  <c r="S692" i="22"/>
  <c r="T692" i="22"/>
  <c r="O693" i="22"/>
  <c r="P693" i="22"/>
  <c r="Q693" i="22"/>
  <c r="R693" i="22"/>
  <c r="S693" i="22"/>
  <c r="T693" i="22"/>
  <c r="Q682" i="22"/>
  <c r="T682" i="22"/>
  <c r="S682" i="22"/>
  <c r="R682" i="22"/>
  <c r="P682" i="22"/>
  <c r="O682" i="22"/>
  <c r="M659" i="22"/>
  <c r="N659" i="22"/>
  <c r="O659" i="22"/>
  <c r="P659" i="22"/>
  <c r="Q659" i="22"/>
  <c r="R659" i="22"/>
  <c r="S659" i="22"/>
  <c r="T659" i="22"/>
  <c r="M660" i="22"/>
  <c r="N660" i="22"/>
  <c r="O660" i="22"/>
  <c r="P660" i="22"/>
  <c r="Q660" i="22"/>
  <c r="R660" i="22"/>
  <c r="S660" i="22"/>
  <c r="T660" i="22"/>
  <c r="M661" i="22"/>
  <c r="N661" i="22"/>
  <c r="O661" i="22"/>
  <c r="P661" i="22"/>
  <c r="Q661" i="22"/>
  <c r="R661" i="22"/>
  <c r="S661" i="22"/>
  <c r="T661" i="22"/>
  <c r="M662" i="22"/>
  <c r="N662" i="22"/>
  <c r="O662" i="22"/>
  <c r="P662" i="22"/>
  <c r="Q662" i="22"/>
  <c r="R662" i="22"/>
  <c r="S662" i="22"/>
  <c r="T662" i="22"/>
  <c r="M663" i="22"/>
  <c r="N663" i="22"/>
  <c r="O663" i="22"/>
  <c r="P663" i="22"/>
  <c r="Q663" i="22"/>
  <c r="R663" i="22"/>
  <c r="S663" i="22"/>
  <c r="T663" i="22"/>
  <c r="M664" i="22"/>
  <c r="N664" i="22"/>
  <c r="O664" i="22"/>
  <c r="P664" i="22"/>
  <c r="Q664" i="22"/>
  <c r="R664" i="22"/>
  <c r="S664" i="22"/>
  <c r="T664" i="22"/>
  <c r="M665" i="22"/>
  <c r="N665" i="22"/>
  <c r="O665" i="22"/>
  <c r="P665" i="22"/>
  <c r="Q665" i="22"/>
  <c r="R665" i="22"/>
  <c r="S665" i="22"/>
  <c r="T665" i="22"/>
  <c r="M666" i="22"/>
  <c r="N666" i="22"/>
  <c r="O666" i="22"/>
  <c r="P666" i="22"/>
  <c r="Q666" i="22"/>
  <c r="R666" i="22"/>
  <c r="S666" i="22"/>
  <c r="T666" i="22"/>
  <c r="M667" i="22"/>
  <c r="N667" i="22"/>
  <c r="O667" i="22"/>
  <c r="P667" i="22"/>
  <c r="Q667" i="22"/>
  <c r="R667" i="22"/>
  <c r="S667" i="22"/>
  <c r="T667" i="22"/>
  <c r="M668" i="22"/>
  <c r="N668" i="22"/>
  <c r="O668" i="22"/>
  <c r="P668" i="22"/>
  <c r="Q668" i="22"/>
  <c r="R668" i="22"/>
  <c r="S668" i="22"/>
  <c r="T668" i="22"/>
  <c r="M669" i="22"/>
  <c r="N669" i="22"/>
  <c r="O669" i="22"/>
  <c r="P669" i="22"/>
  <c r="Q669" i="22"/>
  <c r="R669" i="22"/>
  <c r="S669" i="22"/>
  <c r="T669" i="22"/>
  <c r="P658" i="22"/>
  <c r="T658" i="22"/>
  <c r="P647" i="22"/>
  <c r="S658" i="22"/>
  <c r="R658" i="22"/>
  <c r="Q658" i="22"/>
  <c r="O658" i="22"/>
  <c r="M658" i="22"/>
  <c r="N658" i="22"/>
  <c r="M647" i="22"/>
  <c r="N647" i="22"/>
  <c r="O647" i="22"/>
  <c r="Q647" i="22"/>
  <c r="R647" i="22"/>
  <c r="S647" i="22"/>
  <c r="T647" i="22"/>
  <c r="M648" i="22"/>
  <c r="N648" i="22"/>
  <c r="O648" i="22"/>
  <c r="P648" i="22"/>
  <c r="Q648" i="22"/>
  <c r="R648" i="22"/>
  <c r="S648" i="22"/>
  <c r="T648" i="22"/>
  <c r="M649" i="22"/>
  <c r="N649" i="22"/>
  <c r="O649" i="22"/>
  <c r="P649" i="22"/>
  <c r="Q649" i="22"/>
  <c r="R649" i="22"/>
  <c r="S649" i="22"/>
  <c r="T649" i="22"/>
  <c r="M650" i="22"/>
  <c r="N650" i="22"/>
  <c r="O650" i="22"/>
  <c r="P650" i="22"/>
  <c r="Q650" i="22"/>
  <c r="R650" i="22"/>
  <c r="S650" i="22"/>
  <c r="T650" i="22"/>
  <c r="M651" i="22"/>
  <c r="N651" i="22"/>
  <c r="O651" i="22"/>
  <c r="P651" i="22"/>
  <c r="Q651" i="22"/>
  <c r="R651" i="22"/>
  <c r="S651" i="22"/>
  <c r="T651" i="22"/>
  <c r="M652" i="22"/>
  <c r="N652" i="22"/>
  <c r="O652" i="22"/>
  <c r="P652" i="22"/>
  <c r="Q652" i="22"/>
  <c r="R652" i="22"/>
  <c r="S652" i="22"/>
  <c r="T652" i="22"/>
  <c r="M653" i="22"/>
  <c r="N653" i="22"/>
  <c r="O653" i="22"/>
  <c r="P653" i="22"/>
  <c r="Q653" i="22"/>
  <c r="R653" i="22"/>
  <c r="S653" i="22"/>
  <c r="T653" i="22"/>
  <c r="M654" i="22"/>
  <c r="N654" i="22"/>
  <c r="O654" i="22"/>
  <c r="P654" i="22"/>
  <c r="Q654" i="22"/>
  <c r="R654" i="22"/>
  <c r="S654" i="22"/>
  <c r="T654" i="22"/>
  <c r="M655" i="22"/>
  <c r="N655" i="22"/>
  <c r="O655" i="22"/>
  <c r="P655" i="22"/>
  <c r="Q655" i="22"/>
  <c r="R655" i="22"/>
  <c r="S655" i="22"/>
  <c r="T655" i="22"/>
  <c r="M656" i="22"/>
  <c r="N656" i="22"/>
  <c r="O656" i="22"/>
  <c r="P656" i="22"/>
  <c r="Q656" i="22"/>
  <c r="R656" i="22"/>
  <c r="S656" i="22"/>
  <c r="T656" i="22"/>
  <c r="M657" i="22"/>
  <c r="N657" i="22"/>
  <c r="O657" i="22"/>
  <c r="P657" i="22"/>
  <c r="Q657" i="22"/>
  <c r="R657" i="22"/>
  <c r="S657" i="22"/>
  <c r="T657" i="22"/>
  <c r="Q646" i="22"/>
  <c r="S646" i="22"/>
  <c r="R646" i="22"/>
  <c r="O646" i="22"/>
  <c r="M646" i="22"/>
  <c r="N646" i="22"/>
  <c r="M635" i="22"/>
  <c r="N635" i="22"/>
  <c r="O635" i="22"/>
  <c r="P635" i="22"/>
  <c r="Q635" i="22"/>
  <c r="R635" i="22"/>
  <c r="S635" i="22"/>
  <c r="T635" i="22"/>
  <c r="M636" i="22"/>
  <c r="N636" i="22"/>
  <c r="O636" i="22"/>
  <c r="P636" i="22"/>
  <c r="Q636" i="22"/>
  <c r="R636" i="22"/>
  <c r="S636" i="22"/>
  <c r="T636" i="22"/>
  <c r="M637" i="22"/>
  <c r="N637" i="22"/>
  <c r="O637" i="22"/>
  <c r="P637" i="22"/>
  <c r="Q637" i="22"/>
  <c r="R637" i="22"/>
  <c r="S637" i="22"/>
  <c r="T637" i="22"/>
  <c r="M638" i="22"/>
  <c r="N638" i="22"/>
  <c r="O638" i="22"/>
  <c r="P638" i="22"/>
  <c r="Q638" i="22"/>
  <c r="R638" i="22"/>
  <c r="S638" i="22"/>
  <c r="T638" i="22"/>
  <c r="M639" i="22"/>
  <c r="N639" i="22"/>
  <c r="O639" i="22"/>
  <c r="P639" i="22"/>
  <c r="Q639" i="22"/>
  <c r="R639" i="22"/>
  <c r="S639" i="22"/>
  <c r="T639" i="22"/>
  <c r="M640" i="22"/>
  <c r="N640" i="22"/>
  <c r="O640" i="22"/>
  <c r="P640" i="22"/>
  <c r="Q640" i="22"/>
  <c r="R640" i="22"/>
  <c r="S640" i="22"/>
  <c r="T640" i="22"/>
  <c r="M641" i="22"/>
  <c r="N641" i="22"/>
  <c r="O641" i="22"/>
  <c r="P641" i="22"/>
  <c r="Q641" i="22"/>
  <c r="R641" i="22"/>
  <c r="S641" i="22"/>
  <c r="T641" i="22"/>
  <c r="M642" i="22"/>
  <c r="N642" i="22"/>
  <c r="O642" i="22"/>
  <c r="P642" i="22"/>
  <c r="Q642" i="22"/>
  <c r="R642" i="22"/>
  <c r="S642" i="22"/>
  <c r="T642" i="22"/>
  <c r="M643" i="22"/>
  <c r="N643" i="22"/>
  <c r="O643" i="22"/>
  <c r="P643" i="22"/>
  <c r="Q643" i="22"/>
  <c r="R643" i="22"/>
  <c r="S643" i="22"/>
  <c r="T643" i="22"/>
  <c r="M644" i="22"/>
  <c r="N644" i="22"/>
  <c r="O644" i="22"/>
  <c r="P644" i="22"/>
  <c r="Q644" i="22"/>
  <c r="R644" i="22"/>
  <c r="S644" i="22"/>
  <c r="T644" i="22"/>
  <c r="M645" i="22"/>
  <c r="N645" i="22"/>
  <c r="O645" i="22"/>
  <c r="P645" i="22"/>
  <c r="Q645" i="22"/>
  <c r="R645" i="22"/>
  <c r="S645" i="22"/>
  <c r="T645" i="22"/>
  <c r="M71" i="22"/>
  <c r="N71" i="22"/>
  <c r="M72" i="22"/>
  <c r="N72" i="22"/>
  <c r="M73" i="22"/>
  <c r="N73" i="22"/>
  <c r="M74" i="22"/>
  <c r="N74" i="22"/>
  <c r="M75" i="22"/>
  <c r="N75" i="22"/>
  <c r="M76" i="22"/>
  <c r="N76" i="22"/>
  <c r="M77" i="22"/>
  <c r="N77" i="22"/>
  <c r="M78" i="22"/>
  <c r="N78" i="22"/>
  <c r="M79" i="22"/>
  <c r="N79" i="22"/>
  <c r="M80" i="22"/>
  <c r="N80" i="22"/>
  <c r="M81" i="22"/>
  <c r="N81" i="22"/>
  <c r="N70" i="22"/>
  <c r="M70" i="22"/>
  <c r="M551" i="22"/>
  <c r="N551" i="22"/>
  <c r="M552" i="22"/>
  <c r="N552" i="22"/>
  <c r="M553" i="22"/>
  <c r="N553" i="22"/>
  <c r="M554" i="22"/>
  <c r="N554" i="22"/>
  <c r="M555" i="22"/>
  <c r="N555" i="22"/>
  <c r="M556" i="22"/>
  <c r="N556" i="22"/>
  <c r="M557" i="22"/>
  <c r="N557" i="22"/>
  <c r="M558" i="22"/>
  <c r="N558" i="22"/>
  <c r="M559" i="22"/>
  <c r="N559" i="22"/>
  <c r="M560" i="22"/>
  <c r="N560" i="22"/>
  <c r="M561" i="22"/>
  <c r="N561" i="22"/>
  <c r="N550" i="22"/>
  <c r="M550" i="22"/>
  <c r="M539" i="22"/>
  <c r="N539" i="22"/>
  <c r="M540" i="22"/>
  <c r="N540" i="22"/>
  <c r="M541" i="22"/>
  <c r="N541" i="22"/>
  <c r="M542" i="22"/>
  <c r="N542" i="22"/>
  <c r="M543" i="22"/>
  <c r="N543" i="22"/>
  <c r="M544" i="22"/>
  <c r="N544" i="22"/>
  <c r="M545" i="22"/>
  <c r="N545" i="22"/>
  <c r="M546" i="22"/>
  <c r="N546" i="22"/>
  <c r="M547" i="22"/>
  <c r="N547" i="22"/>
  <c r="M548" i="22"/>
  <c r="N548" i="22"/>
  <c r="M549" i="22"/>
  <c r="N549" i="22"/>
  <c r="N538" i="22"/>
  <c r="M538" i="22"/>
  <c r="M563" i="22"/>
  <c r="N563" i="22"/>
  <c r="M564" i="22"/>
  <c r="N564" i="22"/>
  <c r="M565" i="22"/>
  <c r="N565" i="22"/>
  <c r="M566" i="22"/>
  <c r="N566" i="22"/>
  <c r="M567" i="22"/>
  <c r="N567" i="22"/>
  <c r="M568" i="22"/>
  <c r="N568" i="22"/>
  <c r="M569" i="22"/>
  <c r="N569" i="22"/>
  <c r="M570" i="22"/>
  <c r="N570" i="22"/>
  <c r="M571" i="22"/>
  <c r="N571" i="22"/>
  <c r="M572" i="22"/>
  <c r="N572" i="22"/>
  <c r="M573" i="22"/>
  <c r="N573" i="22"/>
  <c r="N562" i="22"/>
  <c r="M562" i="22"/>
  <c r="M587" i="22"/>
  <c r="N587" i="22"/>
  <c r="M588" i="22"/>
  <c r="N588" i="22"/>
  <c r="M589" i="22"/>
  <c r="N589" i="22"/>
  <c r="M590" i="22"/>
  <c r="N590" i="22"/>
  <c r="M591" i="22"/>
  <c r="N591" i="22"/>
  <c r="M592" i="22"/>
  <c r="N592" i="22"/>
  <c r="M593" i="22"/>
  <c r="N593" i="22"/>
  <c r="M594" i="22"/>
  <c r="N594" i="22"/>
  <c r="M595" i="22"/>
  <c r="N595" i="22"/>
  <c r="M596" i="22"/>
  <c r="N596" i="22"/>
  <c r="M597" i="22"/>
  <c r="N597" i="22"/>
  <c r="N586" i="22"/>
  <c r="M586" i="22"/>
  <c r="M611" i="22"/>
  <c r="N611" i="22"/>
  <c r="M612" i="22"/>
  <c r="N612" i="22"/>
  <c r="M613" i="22"/>
  <c r="N613" i="22"/>
  <c r="M614" i="22"/>
  <c r="N614" i="22"/>
  <c r="M615" i="22"/>
  <c r="N615" i="22"/>
  <c r="M616" i="22"/>
  <c r="N616" i="22"/>
  <c r="M617" i="22"/>
  <c r="N617" i="22"/>
  <c r="M618" i="22"/>
  <c r="N618" i="22"/>
  <c r="M619" i="22"/>
  <c r="N619" i="22"/>
  <c r="M620" i="22"/>
  <c r="N620" i="22"/>
  <c r="M621" i="22"/>
  <c r="N621" i="22"/>
  <c r="N610" i="22"/>
  <c r="M610" i="22"/>
  <c r="I527" i="22"/>
  <c r="J527" i="22"/>
  <c r="K527" i="22"/>
  <c r="L527" i="22"/>
  <c r="M527" i="22"/>
  <c r="N527" i="22"/>
  <c r="O527" i="22"/>
  <c r="P527" i="22"/>
  <c r="Q527" i="22"/>
  <c r="R527" i="22"/>
  <c r="S527" i="22"/>
  <c r="T527" i="22"/>
  <c r="I528" i="22"/>
  <c r="J528" i="22"/>
  <c r="K528" i="22"/>
  <c r="L528" i="22"/>
  <c r="M528" i="22"/>
  <c r="N528" i="22"/>
  <c r="O528" i="22"/>
  <c r="P528" i="22"/>
  <c r="Q528" i="22"/>
  <c r="R528" i="22"/>
  <c r="S528" i="22"/>
  <c r="T528" i="22"/>
  <c r="I529" i="22"/>
  <c r="J529" i="22"/>
  <c r="K529" i="22"/>
  <c r="L529" i="22"/>
  <c r="M529" i="22"/>
  <c r="N529" i="22"/>
  <c r="O529" i="22"/>
  <c r="P529" i="22"/>
  <c r="Q529" i="22"/>
  <c r="R529" i="22"/>
  <c r="S529" i="22"/>
  <c r="T529" i="22"/>
  <c r="I530" i="22"/>
  <c r="J530" i="22"/>
  <c r="K530" i="22"/>
  <c r="L530" i="22"/>
  <c r="M530" i="22"/>
  <c r="N530" i="22"/>
  <c r="O530" i="22"/>
  <c r="P530" i="22"/>
  <c r="Q530" i="22"/>
  <c r="R530" i="22"/>
  <c r="S530" i="22"/>
  <c r="T530" i="22"/>
  <c r="I531" i="22"/>
  <c r="J531" i="22"/>
  <c r="K531" i="22"/>
  <c r="L531" i="22"/>
  <c r="M531" i="22"/>
  <c r="N531" i="22"/>
  <c r="O531" i="22"/>
  <c r="P531" i="22"/>
  <c r="Q531" i="22"/>
  <c r="R531" i="22"/>
  <c r="S531" i="22"/>
  <c r="T531" i="22"/>
  <c r="I532" i="22"/>
  <c r="J532" i="22"/>
  <c r="K532" i="22"/>
  <c r="L532" i="22"/>
  <c r="M532" i="22"/>
  <c r="N532" i="22"/>
  <c r="O532" i="22"/>
  <c r="P532" i="22"/>
  <c r="Q532" i="22"/>
  <c r="R532" i="22"/>
  <c r="S532" i="22"/>
  <c r="T532" i="22"/>
  <c r="I533" i="22"/>
  <c r="J533" i="22"/>
  <c r="K533" i="22"/>
  <c r="L533" i="22"/>
  <c r="M533" i="22"/>
  <c r="N533" i="22"/>
  <c r="O533" i="22"/>
  <c r="P533" i="22"/>
  <c r="Q533" i="22"/>
  <c r="R533" i="22"/>
  <c r="S533" i="22"/>
  <c r="T533" i="22"/>
  <c r="I534" i="22"/>
  <c r="J534" i="22"/>
  <c r="K534" i="22"/>
  <c r="L534" i="22"/>
  <c r="M534" i="22"/>
  <c r="N534" i="22"/>
  <c r="O534" i="22"/>
  <c r="P534" i="22"/>
  <c r="Q534" i="22"/>
  <c r="R534" i="22"/>
  <c r="S534" i="22"/>
  <c r="T534" i="22"/>
  <c r="I535" i="22"/>
  <c r="J535" i="22"/>
  <c r="K535" i="22"/>
  <c r="L535" i="22"/>
  <c r="M535" i="22"/>
  <c r="N535" i="22"/>
  <c r="O535" i="22"/>
  <c r="P535" i="22"/>
  <c r="Q535" i="22"/>
  <c r="R535" i="22"/>
  <c r="S535" i="22"/>
  <c r="T535" i="22"/>
  <c r="I536" i="22"/>
  <c r="J536" i="22"/>
  <c r="K536" i="22"/>
  <c r="L536" i="22"/>
  <c r="M536" i="22"/>
  <c r="N536" i="22"/>
  <c r="O536" i="22"/>
  <c r="P536" i="22"/>
  <c r="Q536" i="22"/>
  <c r="R536" i="22"/>
  <c r="S536" i="22"/>
  <c r="T536" i="22"/>
  <c r="I537" i="22"/>
  <c r="J537" i="22"/>
  <c r="K537" i="22"/>
  <c r="L537" i="22"/>
  <c r="M537" i="22"/>
  <c r="N537" i="22"/>
  <c r="O537" i="22"/>
  <c r="P537" i="22"/>
  <c r="Q537" i="22"/>
  <c r="R537" i="22"/>
  <c r="S537" i="22"/>
  <c r="T537" i="22"/>
  <c r="T526" i="22"/>
  <c r="Q526" i="22"/>
  <c r="S526" i="22"/>
  <c r="R526" i="22"/>
  <c r="P526" i="22"/>
  <c r="O526" i="22"/>
  <c r="M526" i="22"/>
  <c r="N526" i="22"/>
  <c r="T479" i="22"/>
  <c r="T480" i="22"/>
  <c r="T481" i="22"/>
  <c r="T482" i="22"/>
  <c r="T483" i="22"/>
  <c r="T484" i="22"/>
  <c r="T485" i="22"/>
  <c r="T486" i="22"/>
  <c r="T487" i="22"/>
  <c r="T488" i="22"/>
  <c r="T489" i="22"/>
  <c r="T478" i="22"/>
  <c r="O479" i="22"/>
  <c r="P479" i="22"/>
  <c r="Q479" i="22"/>
  <c r="R479" i="22"/>
  <c r="S479" i="22"/>
  <c r="O480" i="22"/>
  <c r="P480" i="22"/>
  <c r="Q480" i="22"/>
  <c r="R480" i="22"/>
  <c r="S480" i="22"/>
  <c r="O481" i="22"/>
  <c r="P481" i="22"/>
  <c r="Q481" i="22"/>
  <c r="R481" i="22"/>
  <c r="S481" i="22"/>
  <c r="O482" i="22"/>
  <c r="P482" i="22"/>
  <c r="Q482" i="22"/>
  <c r="R482" i="22"/>
  <c r="S482" i="22"/>
  <c r="O483" i="22"/>
  <c r="P483" i="22"/>
  <c r="Q483" i="22"/>
  <c r="R483" i="22"/>
  <c r="S483" i="22"/>
  <c r="O484" i="22"/>
  <c r="P484" i="22"/>
  <c r="Q484" i="22"/>
  <c r="R484" i="22"/>
  <c r="S484" i="22"/>
  <c r="O485" i="22"/>
  <c r="P485" i="22"/>
  <c r="Q485" i="22"/>
  <c r="R485" i="22"/>
  <c r="S485" i="22"/>
  <c r="O486" i="22"/>
  <c r="P486" i="22"/>
  <c r="Q486" i="22"/>
  <c r="R486" i="22"/>
  <c r="S486" i="22"/>
  <c r="O487" i="22"/>
  <c r="P487" i="22"/>
  <c r="Q487" i="22"/>
  <c r="R487" i="22"/>
  <c r="S487" i="22"/>
  <c r="O488" i="22"/>
  <c r="P488" i="22"/>
  <c r="Q488" i="22"/>
  <c r="R488" i="22"/>
  <c r="S488" i="22"/>
  <c r="O489" i="22"/>
  <c r="P489" i="22"/>
  <c r="Q489" i="22"/>
  <c r="R489" i="22"/>
  <c r="S489" i="22"/>
  <c r="Q478" i="22"/>
  <c r="S478" i="22"/>
  <c r="R478" i="22"/>
  <c r="P478" i="22"/>
  <c r="O478" i="22"/>
  <c r="M455" i="22"/>
  <c r="N455" i="22"/>
  <c r="O455" i="22"/>
  <c r="P455" i="22"/>
  <c r="Q455" i="22"/>
  <c r="R455" i="22"/>
  <c r="S455" i="22"/>
  <c r="T455" i="22"/>
  <c r="M456" i="22"/>
  <c r="N456" i="22"/>
  <c r="O456" i="22"/>
  <c r="P456" i="22"/>
  <c r="Q456" i="22"/>
  <c r="R456" i="22"/>
  <c r="S456" i="22"/>
  <c r="T456" i="22"/>
  <c r="M457" i="22"/>
  <c r="N457" i="22"/>
  <c r="O457" i="22"/>
  <c r="P457" i="22"/>
  <c r="Q457" i="22"/>
  <c r="R457" i="22"/>
  <c r="S457" i="22"/>
  <c r="T457" i="22"/>
  <c r="M458" i="22"/>
  <c r="N458" i="22"/>
  <c r="O458" i="22"/>
  <c r="P458" i="22"/>
  <c r="Q458" i="22"/>
  <c r="R458" i="22"/>
  <c r="S458" i="22"/>
  <c r="T458" i="22"/>
  <c r="M459" i="22"/>
  <c r="N459" i="22"/>
  <c r="O459" i="22"/>
  <c r="P459" i="22"/>
  <c r="Q459" i="22"/>
  <c r="R459" i="22"/>
  <c r="S459" i="22"/>
  <c r="T459" i="22"/>
  <c r="M460" i="22"/>
  <c r="N460" i="22"/>
  <c r="O460" i="22"/>
  <c r="P460" i="22"/>
  <c r="Q460" i="22"/>
  <c r="R460" i="22"/>
  <c r="S460" i="22"/>
  <c r="T460" i="22"/>
  <c r="M461" i="22"/>
  <c r="N461" i="22"/>
  <c r="O461" i="22"/>
  <c r="P461" i="22"/>
  <c r="Q461" i="22"/>
  <c r="R461" i="22"/>
  <c r="S461" i="22"/>
  <c r="T461" i="22"/>
  <c r="M462" i="22"/>
  <c r="N462" i="22"/>
  <c r="O462" i="22"/>
  <c r="P462" i="22"/>
  <c r="Q462" i="22"/>
  <c r="R462" i="22"/>
  <c r="S462" i="22"/>
  <c r="T462" i="22"/>
  <c r="M463" i="22"/>
  <c r="N463" i="22"/>
  <c r="O463" i="22"/>
  <c r="P463" i="22"/>
  <c r="Q463" i="22"/>
  <c r="R463" i="22"/>
  <c r="S463" i="22"/>
  <c r="T463" i="22"/>
  <c r="M464" i="22"/>
  <c r="N464" i="22"/>
  <c r="O464" i="22"/>
  <c r="P464" i="22"/>
  <c r="Q464" i="22"/>
  <c r="R464" i="22"/>
  <c r="S464" i="22"/>
  <c r="T464" i="22"/>
  <c r="M465" i="22"/>
  <c r="N465" i="22"/>
  <c r="O465" i="22"/>
  <c r="P465" i="22"/>
  <c r="Q465" i="22"/>
  <c r="R465" i="22"/>
  <c r="S465" i="22"/>
  <c r="T465" i="22"/>
  <c r="T454" i="22"/>
  <c r="Q454" i="22"/>
  <c r="S454" i="22"/>
  <c r="R454" i="22"/>
  <c r="P454" i="22"/>
  <c r="O454" i="22"/>
  <c r="M454" i="22"/>
  <c r="N454" i="22"/>
  <c r="L455" i="22"/>
  <c r="L456" i="22"/>
  <c r="L457" i="22"/>
  <c r="L458" i="22"/>
  <c r="L459" i="22"/>
  <c r="L460" i="22"/>
  <c r="L461" i="22"/>
  <c r="L462" i="22"/>
  <c r="L463" i="22"/>
  <c r="L464" i="22"/>
  <c r="L465" i="22"/>
  <c r="L478" i="22"/>
  <c r="L479" i="22"/>
  <c r="L480" i="22"/>
  <c r="L481" i="22"/>
  <c r="L482" i="22"/>
  <c r="L483" i="22"/>
  <c r="L484" i="22"/>
  <c r="L485" i="22"/>
  <c r="L486" i="22"/>
  <c r="L487" i="22"/>
  <c r="L488" i="22"/>
  <c r="L489" i="22"/>
  <c r="L526" i="22"/>
  <c r="L538" i="22"/>
  <c r="L539" i="22"/>
  <c r="L540" i="22"/>
  <c r="L541" i="22"/>
  <c r="L542" i="22"/>
  <c r="L543" i="22"/>
  <c r="L544" i="22"/>
  <c r="L545" i="22"/>
  <c r="L546" i="22"/>
  <c r="L547" i="22"/>
  <c r="L548" i="22"/>
  <c r="L549" i="22"/>
  <c r="L550" i="22"/>
  <c r="L551" i="22"/>
  <c r="L552" i="22"/>
  <c r="L553" i="22"/>
  <c r="L554" i="22"/>
  <c r="L555" i="22"/>
  <c r="L556" i="22"/>
  <c r="L557" i="22"/>
  <c r="L558" i="22"/>
  <c r="L559" i="22"/>
  <c r="L560" i="22"/>
  <c r="L561" i="22"/>
  <c r="L562" i="22"/>
  <c r="L563" i="22"/>
  <c r="L564" i="22"/>
  <c r="L565" i="22"/>
  <c r="L566" i="22"/>
  <c r="L567" i="22"/>
  <c r="L568" i="22"/>
  <c r="L569" i="22"/>
  <c r="L570" i="22"/>
  <c r="L571" i="22"/>
  <c r="L572" i="22"/>
  <c r="L573" i="22"/>
  <c r="L586" i="22"/>
  <c r="L587" i="22"/>
  <c r="L588" i="22"/>
  <c r="L589" i="22"/>
  <c r="L590" i="22"/>
  <c r="L591" i="22"/>
  <c r="L592" i="22"/>
  <c r="L593" i="22"/>
  <c r="L594" i="22"/>
  <c r="L595" i="22"/>
  <c r="L596" i="22"/>
  <c r="L597" i="22"/>
  <c r="L610" i="22"/>
  <c r="L611" i="22"/>
  <c r="L612" i="22"/>
  <c r="L613" i="22"/>
  <c r="L614" i="22"/>
  <c r="L615" i="22"/>
  <c r="L616" i="22"/>
  <c r="L617" i="22"/>
  <c r="L618" i="22"/>
  <c r="L619" i="22"/>
  <c r="L620" i="22"/>
  <c r="L621" i="22"/>
  <c r="L622" i="22"/>
  <c r="L623" i="22"/>
  <c r="L624" i="22"/>
  <c r="L625" i="22"/>
  <c r="L626" i="22"/>
  <c r="L627" i="22"/>
  <c r="L628" i="22"/>
  <c r="L629" i="22"/>
  <c r="L630" i="22"/>
  <c r="L631" i="22"/>
  <c r="L632" i="22"/>
  <c r="L633" i="22"/>
  <c r="L634" i="22"/>
  <c r="L635" i="22"/>
  <c r="L636" i="22"/>
  <c r="L637" i="22"/>
  <c r="L638" i="22"/>
  <c r="L639" i="22"/>
  <c r="L640" i="22"/>
  <c r="L641" i="22"/>
  <c r="L642" i="22"/>
  <c r="L643" i="22"/>
  <c r="L644" i="22"/>
  <c r="L645" i="22"/>
  <c r="L646" i="22"/>
  <c r="L647" i="22"/>
  <c r="L648" i="22"/>
  <c r="L649" i="22"/>
  <c r="L650" i="22"/>
  <c r="L651" i="22"/>
  <c r="L652" i="22"/>
  <c r="L653" i="22"/>
  <c r="L654" i="22"/>
  <c r="L655" i="22"/>
  <c r="L656" i="22"/>
  <c r="L657" i="22"/>
  <c r="L658" i="22"/>
  <c r="L659" i="22"/>
  <c r="L660" i="22"/>
  <c r="L661" i="22"/>
  <c r="L662" i="22"/>
  <c r="L663" i="22"/>
  <c r="L664" i="22"/>
  <c r="L665" i="22"/>
  <c r="L666" i="22"/>
  <c r="L667" i="22"/>
  <c r="L668" i="22"/>
  <c r="L669" i="22"/>
  <c r="L682" i="22"/>
  <c r="L683" i="22"/>
  <c r="L684" i="22"/>
  <c r="L685" i="22"/>
  <c r="L686" i="22"/>
  <c r="L687" i="22"/>
  <c r="L688" i="22"/>
  <c r="L689" i="22"/>
  <c r="L690" i="22"/>
  <c r="L691" i="22"/>
  <c r="L692" i="22"/>
  <c r="L693" i="22"/>
  <c r="L694" i="22"/>
  <c r="L706" i="22" s="1"/>
  <c r="L695" i="22"/>
  <c r="L707" i="22" s="1"/>
  <c r="L696" i="22"/>
  <c r="L708" i="22" s="1"/>
  <c r="L697" i="22"/>
  <c r="L709" i="22" s="1"/>
  <c r="L698" i="22"/>
  <c r="L710" i="22" s="1"/>
  <c r="L699" i="22"/>
  <c r="L711" i="22" s="1"/>
  <c r="L700" i="22"/>
  <c r="L712" i="22" s="1"/>
  <c r="L701" i="22"/>
  <c r="L713" i="22" s="1"/>
  <c r="L702" i="22"/>
  <c r="L714" i="22" s="1"/>
  <c r="L703" i="22"/>
  <c r="L715" i="22" s="1"/>
  <c r="L704" i="22"/>
  <c r="L716" i="22" s="1"/>
  <c r="L705" i="22"/>
  <c r="L717" i="22" s="1"/>
  <c r="L730" i="22"/>
  <c r="L731" i="22"/>
  <c r="L732" i="22"/>
  <c r="L733" i="22"/>
  <c r="L734" i="22"/>
  <c r="L735" i="22"/>
  <c r="L736" i="22"/>
  <c r="L737" i="22"/>
  <c r="L738" i="22"/>
  <c r="L739" i="22"/>
  <c r="L740" i="22"/>
  <c r="L741" i="22"/>
  <c r="L742" i="22"/>
  <c r="L743" i="22"/>
  <c r="L744" i="22"/>
  <c r="L745" i="22"/>
  <c r="L746" i="22"/>
  <c r="L747" i="22"/>
  <c r="L748" i="22"/>
  <c r="L749" i="22"/>
  <c r="L750" i="22"/>
  <c r="L751" i="22"/>
  <c r="L752" i="22"/>
  <c r="L753" i="22"/>
  <c r="L754" i="22"/>
  <c r="L755" i="22"/>
  <c r="L756" i="22"/>
  <c r="L757" i="22"/>
  <c r="L758" i="22"/>
  <c r="L759" i="22"/>
  <c r="L760" i="22"/>
  <c r="L761" i="22"/>
  <c r="L762" i="22"/>
  <c r="L763" i="22"/>
  <c r="L764" i="22"/>
  <c r="L765" i="22"/>
  <c r="L802" i="22"/>
  <c r="L803" i="22"/>
  <c r="L804" i="22"/>
  <c r="L805" i="22"/>
  <c r="L806" i="22"/>
  <c r="L807" i="22"/>
  <c r="L808" i="22"/>
  <c r="L809" i="22"/>
  <c r="L810" i="22"/>
  <c r="L811" i="22"/>
  <c r="L812" i="22"/>
  <c r="L813" i="22"/>
  <c r="L814" i="22"/>
  <c r="L815" i="22"/>
  <c r="AF815" i="22" s="1"/>
  <c r="L816" i="22"/>
  <c r="AF816" i="22" s="1"/>
  <c r="L817" i="22"/>
  <c r="AF817" i="22" s="1"/>
  <c r="L818" i="22"/>
  <c r="AF818" i="22" s="1"/>
  <c r="L819" i="22"/>
  <c r="AF819" i="22" s="1"/>
  <c r="L820" i="22"/>
  <c r="AF820" i="22" s="1"/>
  <c r="L821" i="22"/>
  <c r="AF821" i="22" s="1"/>
  <c r="L822" i="22"/>
  <c r="AF822" i="22" s="1"/>
  <c r="L823" i="22"/>
  <c r="AF823" i="22" s="1"/>
  <c r="L824" i="22"/>
  <c r="AF824" i="22" s="1"/>
  <c r="L825" i="22"/>
  <c r="AF825" i="22" s="1"/>
  <c r="L850" i="22"/>
  <c r="L851" i="22"/>
  <c r="L852" i="22"/>
  <c r="L853" i="22"/>
  <c r="L854" i="22"/>
  <c r="L855" i="22"/>
  <c r="L856" i="22"/>
  <c r="L857" i="22"/>
  <c r="L858" i="22"/>
  <c r="L859" i="22"/>
  <c r="L860" i="22"/>
  <c r="L861" i="22"/>
  <c r="L862" i="22"/>
  <c r="L863" i="22"/>
  <c r="L864" i="22"/>
  <c r="L865" i="22"/>
  <c r="L866" i="22"/>
  <c r="L867" i="22"/>
  <c r="L868" i="22"/>
  <c r="L869" i="22"/>
  <c r="L870" i="22"/>
  <c r="L871" i="22"/>
  <c r="L872" i="22"/>
  <c r="L873" i="22"/>
  <c r="M443" i="22"/>
  <c r="N443" i="22"/>
  <c r="O443" i="22"/>
  <c r="P443" i="22"/>
  <c r="Q443" i="22"/>
  <c r="R443" i="22"/>
  <c r="S443" i="22"/>
  <c r="T443" i="22"/>
  <c r="M444" i="22"/>
  <c r="N444" i="22"/>
  <c r="O444" i="22"/>
  <c r="P444" i="22"/>
  <c r="Q444" i="22"/>
  <c r="R444" i="22"/>
  <c r="S444" i="22"/>
  <c r="T444" i="22"/>
  <c r="M445" i="22"/>
  <c r="N445" i="22"/>
  <c r="O445" i="22"/>
  <c r="P445" i="22"/>
  <c r="Q445" i="22"/>
  <c r="R445" i="22"/>
  <c r="S445" i="22"/>
  <c r="T445" i="22"/>
  <c r="M446" i="22"/>
  <c r="N446" i="22"/>
  <c r="O446" i="22"/>
  <c r="P446" i="22"/>
  <c r="Q446" i="22"/>
  <c r="R446" i="22"/>
  <c r="S446" i="22"/>
  <c r="T446" i="22"/>
  <c r="M447" i="22"/>
  <c r="N447" i="22"/>
  <c r="O447" i="22"/>
  <c r="P447" i="22"/>
  <c r="Q447" i="22"/>
  <c r="R447" i="22"/>
  <c r="S447" i="22"/>
  <c r="T447" i="22"/>
  <c r="M448" i="22"/>
  <c r="N448" i="22"/>
  <c r="O448" i="22"/>
  <c r="P448" i="22"/>
  <c r="Q448" i="22"/>
  <c r="R448" i="22"/>
  <c r="S448" i="22"/>
  <c r="T448" i="22"/>
  <c r="M449" i="22"/>
  <c r="N449" i="22"/>
  <c r="O449" i="22"/>
  <c r="P449" i="22"/>
  <c r="Q449" i="22"/>
  <c r="R449" i="22"/>
  <c r="S449" i="22"/>
  <c r="T449" i="22"/>
  <c r="M450" i="22"/>
  <c r="N450" i="22"/>
  <c r="O450" i="22"/>
  <c r="P450" i="22"/>
  <c r="Q450" i="22"/>
  <c r="R450" i="22"/>
  <c r="S450" i="22"/>
  <c r="T450" i="22"/>
  <c r="M451" i="22"/>
  <c r="N451" i="22"/>
  <c r="O451" i="22"/>
  <c r="P451" i="22"/>
  <c r="Q451" i="22"/>
  <c r="R451" i="22"/>
  <c r="S451" i="22"/>
  <c r="T451" i="22"/>
  <c r="M452" i="22"/>
  <c r="N452" i="22"/>
  <c r="O452" i="22"/>
  <c r="P452" i="22"/>
  <c r="Q452" i="22"/>
  <c r="R452" i="22"/>
  <c r="S452" i="22"/>
  <c r="T452" i="22"/>
  <c r="M453" i="22"/>
  <c r="N453" i="22"/>
  <c r="O453" i="22"/>
  <c r="P453" i="22"/>
  <c r="Q453" i="22"/>
  <c r="R453" i="22"/>
  <c r="S453" i="22"/>
  <c r="T453" i="22"/>
  <c r="T442" i="22"/>
  <c r="Q442" i="22"/>
  <c r="S442" i="22"/>
  <c r="R442" i="22"/>
  <c r="P442" i="22"/>
  <c r="O442" i="22"/>
  <c r="M442" i="22"/>
  <c r="N442" i="22"/>
  <c r="M419" i="22"/>
  <c r="N419" i="22"/>
  <c r="O419" i="22"/>
  <c r="P419" i="22"/>
  <c r="Q419" i="22"/>
  <c r="R419" i="22"/>
  <c r="S419" i="22"/>
  <c r="T419" i="22"/>
  <c r="M420" i="22"/>
  <c r="N420" i="22"/>
  <c r="O420" i="22"/>
  <c r="P420" i="22"/>
  <c r="Q420" i="22"/>
  <c r="R420" i="22"/>
  <c r="S420" i="22"/>
  <c r="T420" i="22"/>
  <c r="M421" i="22"/>
  <c r="N421" i="22"/>
  <c r="O421" i="22"/>
  <c r="P421" i="22"/>
  <c r="Q421" i="22"/>
  <c r="R421" i="22"/>
  <c r="S421" i="22"/>
  <c r="T421" i="22"/>
  <c r="M422" i="22"/>
  <c r="N422" i="22"/>
  <c r="O422" i="22"/>
  <c r="P422" i="22"/>
  <c r="Q422" i="22"/>
  <c r="R422" i="22"/>
  <c r="S422" i="22"/>
  <c r="T422" i="22"/>
  <c r="M423" i="22"/>
  <c r="N423" i="22"/>
  <c r="O423" i="22"/>
  <c r="P423" i="22"/>
  <c r="Q423" i="22"/>
  <c r="R423" i="22"/>
  <c r="S423" i="22"/>
  <c r="T423" i="22"/>
  <c r="M424" i="22"/>
  <c r="N424" i="22"/>
  <c r="O424" i="22"/>
  <c r="P424" i="22"/>
  <c r="Q424" i="22"/>
  <c r="R424" i="22"/>
  <c r="S424" i="22"/>
  <c r="T424" i="22"/>
  <c r="M425" i="22"/>
  <c r="N425" i="22"/>
  <c r="O425" i="22"/>
  <c r="P425" i="22"/>
  <c r="Q425" i="22"/>
  <c r="R425" i="22"/>
  <c r="S425" i="22"/>
  <c r="T425" i="22"/>
  <c r="M426" i="22"/>
  <c r="N426" i="22"/>
  <c r="O426" i="22"/>
  <c r="P426" i="22"/>
  <c r="Q426" i="22"/>
  <c r="R426" i="22"/>
  <c r="S426" i="22"/>
  <c r="T426" i="22"/>
  <c r="M427" i="22"/>
  <c r="N427" i="22"/>
  <c r="O427" i="22"/>
  <c r="P427" i="22"/>
  <c r="Q427" i="22"/>
  <c r="R427" i="22"/>
  <c r="S427" i="22"/>
  <c r="T427" i="22"/>
  <c r="M428" i="22"/>
  <c r="N428" i="22"/>
  <c r="O428" i="22"/>
  <c r="P428" i="22"/>
  <c r="Q428" i="22"/>
  <c r="R428" i="22"/>
  <c r="S428" i="22"/>
  <c r="T428" i="22"/>
  <c r="M429" i="22"/>
  <c r="N429" i="22"/>
  <c r="O429" i="22"/>
  <c r="P429" i="22"/>
  <c r="Q429" i="22"/>
  <c r="R429" i="22"/>
  <c r="S429" i="22"/>
  <c r="T429" i="22"/>
  <c r="T418" i="22"/>
  <c r="Q418" i="22"/>
  <c r="S418" i="22"/>
  <c r="R418" i="22"/>
  <c r="P418" i="22"/>
  <c r="O418" i="22"/>
  <c r="M418" i="22"/>
  <c r="N418" i="22"/>
  <c r="M383" i="22"/>
  <c r="N383" i="22"/>
  <c r="O383" i="22"/>
  <c r="P383" i="22"/>
  <c r="Q383" i="22"/>
  <c r="R383" i="22"/>
  <c r="S383" i="22"/>
  <c r="T383" i="22"/>
  <c r="M384" i="22"/>
  <c r="N384" i="22"/>
  <c r="O384" i="22"/>
  <c r="P384" i="22"/>
  <c r="Q384" i="22"/>
  <c r="R384" i="22"/>
  <c r="S384" i="22"/>
  <c r="T384" i="22"/>
  <c r="M385" i="22"/>
  <c r="N385" i="22"/>
  <c r="O385" i="22"/>
  <c r="P385" i="22"/>
  <c r="Q385" i="22"/>
  <c r="R385" i="22"/>
  <c r="S385" i="22"/>
  <c r="T385" i="22"/>
  <c r="M386" i="22"/>
  <c r="N386" i="22"/>
  <c r="O386" i="22"/>
  <c r="P386" i="22"/>
  <c r="Q386" i="22"/>
  <c r="R386" i="22"/>
  <c r="S386" i="22"/>
  <c r="T386" i="22"/>
  <c r="M387" i="22"/>
  <c r="N387" i="22"/>
  <c r="O387" i="22"/>
  <c r="P387" i="22"/>
  <c r="Q387" i="22"/>
  <c r="R387" i="22"/>
  <c r="S387" i="22"/>
  <c r="T387" i="22"/>
  <c r="M388" i="22"/>
  <c r="N388" i="22"/>
  <c r="O388" i="22"/>
  <c r="P388" i="22"/>
  <c r="Q388" i="22"/>
  <c r="R388" i="22"/>
  <c r="S388" i="22"/>
  <c r="T388" i="22"/>
  <c r="M389" i="22"/>
  <c r="N389" i="22"/>
  <c r="O389" i="22"/>
  <c r="P389" i="22"/>
  <c r="Q389" i="22"/>
  <c r="R389" i="22"/>
  <c r="S389" i="22"/>
  <c r="T389" i="22"/>
  <c r="M390" i="22"/>
  <c r="N390" i="22"/>
  <c r="O390" i="22"/>
  <c r="P390" i="22"/>
  <c r="Q390" i="22"/>
  <c r="R390" i="22"/>
  <c r="S390" i="22"/>
  <c r="T390" i="22"/>
  <c r="M391" i="22"/>
  <c r="N391" i="22"/>
  <c r="O391" i="22"/>
  <c r="P391" i="22"/>
  <c r="Q391" i="22"/>
  <c r="R391" i="22"/>
  <c r="S391" i="22"/>
  <c r="T391" i="22"/>
  <c r="M392" i="22"/>
  <c r="N392" i="22"/>
  <c r="O392" i="22"/>
  <c r="P392" i="22"/>
  <c r="Q392" i="22"/>
  <c r="R392" i="22"/>
  <c r="S392" i="22"/>
  <c r="T392" i="22"/>
  <c r="M393" i="22"/>
  <c r="N393" i="22"/>
  <c r="O393" i="22"/>
  <c r="P393" i="22"/>
  <c r="Q393" i="22"/>
  <c r="R393" i="22"/>
  <c r="S393" i="22"/>
  <c r="T393" i="22"/>
  <c r="T382" i="22"/>
  <c r="Q382" i="22"/>
  <c r="S382" i="22"/>
  <c r="R382" i="22"/>
  <c r="P382" i="22"/>
  <c r="O382" i="22"/>
  <c r="M382" i="22"/>
  <c r="N382" i="22"/>
  <c r="M359" i="22"/>
  <c r="N359" i="22"/>
  <c r="O359" i="22"/>
  <c r="P359" i="22"/>
  <c r="Q359" i="22"/>
  <c r="R359" i="22"/>
  <c r="S359" i="22"/>
  <c r="T359" i="22"/>
  <c r="M360" i="22"/>
  <c r="N360" i="22"/>
  <c r="O360" i="22"/>
  <c r="P360" i="22"/>
  <c r="Q360" i="22"/>
  <c r="R360" i="22"/>
  <c r="S360" i="22"/>
  <c r="T360" i="22"/>
  <c r="M361" i="22"/>
  <c r="N361" i="22"/>
  <c r="O361" i="22"/>
  <c r="P361" i="22"/>
  <c r="Q361" i="22"/>
  <c r="R361" i="22"/>
  <c r="S361" i="22"/>
  <c r="T361" i="22"/>
  <c r="M362" i="22"/>
  <c r="N362" i="22"/>
  <c r="O362" i="22"/>
  <c r="P362" i="22"/>
  <c r="Q362" i="22"/>
  <c r="R362" i="22"/>
  <c r="S362" i="22"/>
  <c r="T362" i="22"/>
  <c r="M363" i="22"/>
  <c r="N363" i="22"/>
  <c r="O363" i="22"/>
  <c r="P363" i="22"/>
  <c r="Q363" i="22"/>
  <c r="R363" i="22"/>
  <c r="S363" i="22"/>
  <c r="T363" i="22"/>
  <c r="M364" i="22"/>
  <c r="N364" i="22"/>
  <c r="O364" i="22"/>
  <c r="P364" i="22"/>
  <c r="Q364" i="22"/>
  <c r="R364" i="22"/>
  <c r="S364" i="22"/>
  <c r="T364" i="22"/>
  <c r="M365" i="22"/>
  <c r="N365" i="22"/>
  <c r="O365" i="22"/>
  <c r="P365" i="22"/>
  <c r="Q365" i="22"/>
  <c r="R365" i="22"/>
  <c r="S365" i="22"/>
  <c r="T365" i="22"/>
  <c r="M366" i="22"/>
  <c r="N366" i="22"/>
  <c r="O366" i="22"/>
  <c r="P366" i="22"/>
  <c r="Q366" i="22"/>
  <c r="R366" i="22"/>
  <c r="S366" i="22"/>
  <c r="T366" i="22"/>
  <c r="M367" i="22"/>
  <c r="N367" i="22"/>
  <c r="O367" i="22"/>
  <c r="P367" i="22"/>
  <c r="Q367" i="22"/>
  <c r="R367" i="22"/>
  <c r="S367" i="22"/>
  <c r="T367" i="22"/>
  <c r="M368" i="22"/>
  <c r="N368" i="22"/>
  <c r="O368" i="22"/>
  <c r="P368" i="22"/>
  <c r="Q368" i="22"/>
  <c r="R368" i="22"/>
  <c r="S368" i="22"/>
  <c r="T368" i="22"/>
  <c r="M369" i="22"/>
  <c r="N369" i="22"/>
  <c r="O369" i="22"/>
  <c r="P369" i="22"/>
  <c r="Q369" i="22"/>
  <c r="R369" i="22"/>
  <c r="S369" i="22"/>
  <c r="T369" i="22"/>
  <c r="T358" i="22"/>
  <c r="Q358" i="22"/>
  <c r="S358" i="22"/>
  <c r="R358" i="22"/>
  <c r="P358" i="22"/>
  <c r="O358" i="22"/>
  <c r="M358" i="22"/>
  <c r="N358" i="22"/>
  <c r="M347" i="22"/>
  <c r="N347" i="22"/>
  <c r="O347" i="22"/>
  <c r="P347" i="22"/>
  <c r="Q347" i="22"/>
  <c r="R347" i="22"/>
  <c r="S347" i="22"/>
  <c r="T347" i="22"/>
  <c r="M348" i="22"/>
  <c r="N348" i="22"/>
  <c r="O348" i="22"/>
  <c r="P348" i="22"/>
  <c r="Q348" i="22"/>
  <c r="R348" i="22"/>
  <c r="S348" i="22"/>
  <c r="T348" i="22"/>
  <c r="M349" i="22"/>
  <c r="N349" i="22"/>
  <c r="O349" i="22"/>
  <c r="P349" i="22"/>
  <c r="Q349" i="22"/>
  <c r="R349" i="22"/>
  <c r="S349" i="22"/>
  <c r="T349" i="22"/>
  <c r="M350" i="22"/>
  <c r="N350" i="22"/>
  <c r="O350" i="22"/>
  <c r="P350" i="22"/>
  <c r="Q350" i="22"/>
  <c r="R350" i="22"/>
  <c r="S350" i="22"/>
  <c r="T350" i="22"/>
  <c r="M351" i="22"/>
  <c r="N351" i="22"/>
  <c r="O351" i="22"/>
  <c r="P351" i="22"/>
  <c r="Q351" i="22"/>
  <c r="R351" i="22"/>
  <c r="S351" i="22"/>
  <c r="T351" i="22"/>
  <c r="M352" i="22"/>
  <c r="N352" i="22"/>
  <c r="O352" i="22"/>
  <c r="P352" i="22"/>
  <c r="Q352" i="22"/>
  <c r="R352" i="22"/>
  <c r="S352" i="22"/>
  <c r="T352" i="22"/>
  <c r="M353" i="22"/>
  <c r="N353" i="22"/>
  <c r="O353" i="22"/>
  <c r="P353" i="22"/>
  <c r="Q353" i="22"/>
  <c r="R353" i="22"/>
  <c r="S353" i="22"/>
  <c r="T353" i="22"/>
  <c r="M354" i="22"/>
  <c r="N354" i="22"/>
  <c r="O354" i="22"/>
  <c r="P354" i="22"/>
  <c r="Q354" i="22"/>
  <c r="R354" i="22"/>
  <c r="S354" i="22"/>
  <c r="T354" i="22"/>
  <c r="M355" i="22"/>
  <c r="N355" i="22"/>
  <c r="O355" i="22"/>
  <c r="P355" i="22"/>
  <c r="Q355" i="22"/>
  <c r="R355" i="22"/>
  <c r="S355" i="22"/>
  <c r="T355" i="22"/>
  <c r="M356" i="22"/>
  <c r="N356" i="22"/>
  <c r="O356" i="22"/>
  <c r="P356" i="22"/>
  <c r="Q356" i="22"/>
  <c r="R356" i="22"/>
  <c r="S356" i="22"/>
  <c r="T356" i="22"/>
  <c r="M357" i="22"/>
  <c r="N357" i="22"/>
  <c r="O357" i="22"/>
  <c r="P357" i="22"/>
  <c r="Q357" i="22"/>
  <c r="R357" i="22"/>
  <c r="S357" i="22"/>
  <c r="T357" i="22"/>
  <c r="T346" i="22"/>
  <c r="Q346" i="22"/>
  <c r="S346" i="22"/>
  <c r="R346" i="22"/>
  <c r="P346" i="22"/>
  <c r="O346" i="22"/>
  <c r="M346" i="22"/>
  <c r="N346" i="22"/>
  <c r="N310" i="22"/>
  <c r="N311" i="22"/>
  <c r="N312" i="22"/>
  <c r="N313" i="22"/>
  <c r="N314" i="22"/>
  <c r="N315" i="22"/>
  <c r="N316" i="22"/>
  <c r="N317" i="22"/>
  <c r="N318" i="22"/>
  <c r="N319" i="22"/>
  <c r="N320" i="22"/>
  <c r="N321" i="22"/>
  <c r="M311" i="22"/>
  <c r="M312" i="22"/>
  <c r="M313" i="22"/>
  <c r="M314" i="22"/>
  <c r="M315" i="22"/>
  <c r="M316" i="22"/>
  <c r="M317" i="22"/>
  <c r="M318" i="22"/>
  <c r="M319" i="22"/>
  <c r="M320" i="22"/>
  <c r="M321" i="22"/>
  <c r="M310" i="22"/>
  <c r="M191" i="22"/>
  <c r="N191" i="22"/>
  <c r="O191" i="22"/>
  <c r="P191" i="22"/>
  <c r="Q191" i="22"/>
  <c r="R191" i="22"/>
  <c r="S191" i="22"/>
  <c r="T191" i="22"/>
  <c r="M192" i="22"/>
  <c r="N192" i="22"/>
  <c r="O192" i="22"/>
  <c r="P192" i="22"/>
  <c r="Q192" i="22"/>
  <c r="R192" i="22"/>
  <c r="S192" i="22"/>
  <c r="T192" i="22"/>
  <c r="M193" i="22"/>
  <c r="N193" i="22"/>
  <c r="O193" i="22"/>
  <c r="P193" i="22"/>
  <c r="Q193" i="22"/>
  <c r="R193" i="22"/>
  <c r="S193" i="22"/>
  <c r="T193" i="22"/>
  <c r="M194" i="22"/>
  <c r="N194" i="22"/>
  <c r="O194" i="22"/>
  <c r="P194" i="22"/>
  <c r="Q194" i="22"/>
  <c r="R194" i="22"/>
  <c r="S194" i="22"/>
  <c r="T194" i="22"/>
  <c r="M195" i="22"/>
  <c r="N195" i="22"/>
  <c r="O195" i="22"/>
  <c r="P195" i="22"/>
  <c r="Q195" i="22"/>
  <c r="R195" i="22"/>
  <c r="S195" i="22"/>
  <c r="T195" i="22"/>
  <c r="M196" i="22"/>
  <c r="N196" i="22"/>
  <c r="O196" i="22"/>
  <c r="P196" i="22"/>
  <c r="Q196" i="22"/>
  <c r="R196" i="22"/>
  <c r="S196" i="22"/>
  <c r="T196" i="22"/>
  <c r="M197" i="22"/>
  <c r="N197" i="22"/>
  <c r="O197" i="22"/>
  <c r="P197" i="22"/>
  <c r="Q197" i="22"/>
  <c r="R197" i="22"/>
  <c r="S197" i="22"/>
  <c r="T197" i="22"/>
  <c r="M198" i="22"/>
  <c r="N198" i="22"/>
  <c r="O198" i="22"/>
  <c r="P198" i="22"/>
  <c r="Q198" i="22"/>
  <c r="R198" i="22"/>
  <c r="S198" i="22"/>
  <c r="T198" i="22"/>
  <c r="M199" i="22"/>
  <c r="N199" i="22"/>
  <c r="O199" i="22"/>
  <c r="P199" i="22"/>
  <c r="Q199" i="22"/>
  <c r="R199" i="22"/>
  <c r="S199" i="22"/>
  <c r="T199" i="22"/>
  <c r="M200" i="22"/>
  <c r="N200" i="22"/>
  <c r="O200" i="22"/>
  <c r="P200" i="22"/>
  <c r="Q200" i="22"/>
  <c r="R200" i="22"/>
  <c r="S200" i="22"/>
  <c r="T200" i="22"/>
  <c r="M201" i="22"/>
  <c r="N201" i="22"/>
  <c r="O201" i="22"/>
  <c r="P201" i="22"/>
  <c r="Q201" i="22"/>
  <c r="R201" i="22"/>
  <c r="S201" i="22"/>
  <c r="T201" i="22"/>
  <c r="M250" i="22"/>
  <c r="N250" i="22"/>
  <c r="O250" i="22"/>
  <c r="P250" i="22"/>
  <c r="Q250" i="22"/>
  <c r="R250" i="22"/>
  <c r="S250" i="22"/>
  <c r="T250" i="22"/>
  <c r="M251" i="22"/>
  <c r="N251" i="22"/>
  <c r="O251" i="22"/>
  <c r="P251" i="22"/>
  <c r="Q251" i="22"/>
  <c r="R251" i="22"/>
  <c r="S251" i="22"/>
  <c r="T251" i="22"/>
  <c r="M252" i="22"/>
  <c r="N252" i="22"/>
  <c r="O252" i="22"/>
  <c r="P252" i="22"/>
  <c r="Q252" i="22"/>
  <c r="R252" i="22"/>
  <c r="S252" i="22"/>
  <c r="T252" i="22"/>
  <c r="M253" i="22"/>
  <c r="N253" i="22"/>
  <c r="O253" i="22"/>
  <c r="P253" i="22"/>
  <c r="Q253" i="22"/>
  <c r="R253" i="22"/>
  <c r="S253" i="22"/>
  <c r="T253" i="22"/>
  <c r="M254" i="22"/>
  <c r="N254" i="22"/>
  <c r="O254" i="22"/>
  <c r="P254" i="22"/>
  <c r="Q254" i="22"/>
  <c r="R254" i="22"/>
  <c r="S254" i="22"/>
  <c r="T254" i="22"/>
  <c r="M255" i="22"/>
  <c r="N255" i="22"/>
  <c r="O255" i="22"/>
  <c r="P255" i="22"/>
  <c r="Q255" i="22"/>
  <c r="R255" i="22"/>
  <c r="S255" i="22"/>
  <c r="T255" i="22"/>
  <c r="M256" i="22"/>
  <c r="N256" i="22"/>
  <c r="O256" i="22"/>
  <c r="P256" i="22"/>
  <c r="Q256" i="22"/>
  <c r="R256" i="22"/>
  <c r="S256" i="22"/>
  <c r="T256" i="22"/>
  <c r="M257" i="22"/>
  <c r="N257" i="22"/>
  <c r="O257" i="22"/>
  <c r="P257" i="22"/>
  <c r="Q257" i="22"/>
  <c r="R257" i="22"/>
  <c r="S257" i="22"/>
  <c r="T257" i="22"/>
  <c r="M258" i="22"/>
  <c r="N258" i="22"/>
  <c r="O258" i="22"/>
  <c r="P258" i="22"/>
  <c r="Q258" i="22"/>
  <c r="R258" i="22"/>
  <c r="S258" i="22"/>
  <c r="T258" i="22"/>
  <c r="M259" i="22"/>
  <c r="N259" i="22"/>
  <c r="O259" i="22"/>
  <c r="P259" i="22"/>
  <c r="Q259" i="22"/>
  <c r="R259" i="22"/>
  <c r="S259" i="22"/>
  <c r="T259" i="22"/>
  <c r="M260" i="22"/>
  <c r="N260" i="22"/>
  <c r="O260" i="22"/>
  <c r="P260" i="22"/>
  <c r="Q260" i="22"/>
  <c r="R260" i="22"/>
  <c r="S260" i="22"/>
  <c r="T260" i="22"/>
  <c r="M261" i="22"/>
  <c r="N261" i="22"/>
  <c r="O261" i="22"/>
  <c r="P261" i="22"/>
  <c r="Q261" i="22"/>
  <c r="R261" i="22"/>
  <c r="S261" i="22"/>
  <c r="T261" i="22"/>
  <c r="M274" i="22"/>
  <c r="N274" i="22"/>
  <c r="O274" i="22"/>
  <c r="P274" i="22"/>
  <c r="Q274" i="22"/>
  <c r="R274" i="22"/>
  <c r="S274" i="22"/>
  <c r="T274" i="22"/>
  <c r="M275" i="22"/>
  <c r="N275" i="22"/>
  <c r="O275" i="22"/>
  <c r="P275" i="22"/>
  <c r="Q275" i="22"/>
  <c r="R275" i="22"/>
  <c r="S275" i="22"/>
  <c r="T275" i="22"/>
  <c r="M276" i="22"/>
  <c r="N276" i="22"/>
  <c r="O276" i="22"/>
  <c r="P276" i="22"/>
  <c r="Q276" i="22"/>
  <c r="R276" i="22"/>
  <c r="S276" i="22"/>
  <c r="T276" i="22"/>
  <c r="M277" i="22"/>
  <c r="N277" i="22"/>
  <c r="O277" i="22"/>
  <c r="P277" i="22"/>
  <c r="Q277" i="22"/>
  <c r="R277" i="22"/>
  <c r="S277" i="22"/>
  <c r="T277" i="22"/>
  <c r="M278" i="22"/>
  <c r="N278" i="22"/>
  <c r="O278" i="22"/>
  <c r="P278" i="22"/>
  <c r="Q278" i="22"/>
  <c r="R278" i="22"/>
  <c r="S278" i="22"/>
  <c r="T278" i="22"/>
  <c r="M279" i="22"/>
  <c r="N279" i="22"/>
  <c r="O279" i="22"/>
  <c r="P279" i="22"/>
  <c r="Q279" i="22"/>
  <c r="R279" i="22"/>
  <c r="S279" i="22"/>
  <c r="T279" i="22"/>
  <c r="M280" i="22"/>
  <c r="N280" i="22"/>
  <c r="O280" i="22"/>
  <c r="P280" i="22"/>
  <c r="Q280" i="22"/>
  <c r="R280" i="22"/>
  <c r="S280" i="22"/>
  <c r="T280" i="22"/>
  <c r="M281" i="22"/>
  <c r="N281" i="22"/>
  <c r="O281" i="22"/>
  <c r="P281" i="22"/>
  <c r="Q281" i="22"/>
  <c r="R281" i="22"/>
  <c r="S281" i="22"/>
  <c r="T281" i="22"/>
  <c r="M282" i="22"/>
  <c r="N282" i="22"/>
  <c r="O282" i="22"/>
  <c r="P282" i="22"/>
  <c r="Q282" i="22"/>
  <c r="R282" i="22"/>
  <c r="S282" i="22"/>
  <c r="T282" i="22"/>
  <c r="M283" i="22"/>
  <c r="N283" i="22"/>
  <c r="O283" i="22"/>
  <c r="P283" i="22"/>
  <c r="Q283" i="22"/>
  <c r="R283" i="22"/>
  <c r="S283" i="22"/>
  <c r="T283" i="22"/>
  <c r="M284" i="22"/>
  <c r="N284" i="22"/>
  <c r="O284" i="22"/>
  <c r="P284" i="22"/>
  <c r="Q284" i="22"/>
  <c r="R284" i="22"/>
  <c r="S284" i="22"/>
  <c r="T284" i="22"/>
  <c r="M285" i="22"/>
  <c r="N285" i="22"/>
  <c r="O285" i="22"/>
  <c r="P285" i="22"/>
  <c r="Q285" i="22"/>
  <c r="R285" i="22"/>
  <c r="S285" i="22"/>
  <c r="T285" i="22"/>
  <c r="M286" i="22"/>
  <c r="N286" i="22"/>
  <c r="O286" i="22"/>
  <c r="P286" i="22"/>
  <c r="Q286" i="22"/>
  <c r="R286" i="22"/>
  <c r="S286" i="22"/>
  <c r="T286" i="22"/>
  <c r="M287" i="22"/>
  <c r="N287" i="22"/>
  <c r="O287" i="22"/>
  <c r="P287" i="22"/>
  <c r="Q287" i="22"/>
  <c r="R287" i="22"/>
  <c r="S287" i="22"/>
  <c r="T287" i="22"/>
  <c r="M288" i="22"/>
  <c r="N288" i="22"/>
  <c r="O288" i="22"/>
  <c r="P288" i="22"/>
  <c r="Q288" i="22"/>
  <c r="R288" i="22"/>
  <c r="S288" i="22"/>
  <c r="T288" i="22"/>
  <c r="M289" i="22"/>
  <c r="N289" i="22"/>
  <c r="O289" i="22"/>
  <c r="P289" i="22"/>
  <c r="Q289" i="22"/>
  <c r="R289" i="22"/>
  <c r="S289" i="22"/>
  <c r="T289" i="22"/>
  <c r="M290" i="22"/>
  <c r="N290" i="22"/>
  <c r="O290" i="22"/>
  <c r="P290" i="22"/>
  <c r="Q290" i="22"/>
  <c r="R290" i="22"/>
  <c r="S290" i="22"/>
  <c r="T290" i="22"/>
  <c r="M291" i="22"/>
  <c r="N291" i="22"/>
  <c r="O291" i="22"/>
  <c r="P291" i="22"/>
  <c r="Q291" i="22"/>
  <c r="R291" i="22"/>
  <c r="S291" i="22"/>
  <c r="T291" i="22"/>
  <c r="M292" i="22"/>
  <c r="N292" i="22"/>
  <c r="O292" i="22"/>
  <c r="P292" i="22"/>
  <c r="Q292" i="22"/>
  <c r="R292" i="22"/>
  <c r="S292" i="22"/>
  <c r="T292" i="22"/>
  <c r="M293" i="22"/>
  <c r="N293" i="22"/>
  <c r="O293" i="22"/>
  <c r="P293" i="22"/>
  <c r="Q293" i="22"/>
  <c r="R293" i="22"/>
  <c r="S293" i="22"/>
  <c r="T293" i="22"/>
  <c r="M294" i="22"/>
  <c r="N294" i="22"/>
  <c r="O294" i="22"/>
  <c r="P294" i="22"/>
  <c r="Q294" i="22"/>
  <c r="R294" i="22"/>
  <c r="S294" i="22"/>
  <c r="T294" i="22"/>
  <c r="M295" i="22"/>
  <c r="N295" i="22"/>
  <c r="O295" i="22"/>
  <c r="P295" i="22"/>
  <c r="Q295" i="22"/>
  <c r="R295" i="22"/>
  <c r="S295" i="22"/>
  <c r="T295" i="22"/>
  <c r="M296" i="22"/>
  <c r="N296" i="22"/>
  <c r="O296" i="22"/>
  <c r="P296" i="22"/>
  <c r="Q296" i="22"/>
  <c r="R296" i="22"/>
  <c r="S296" i="22"/>
  <c r="T296" i="22"/>
  <c r="M297" i="22"/>
  <c r="N297" i="22"/>
  <c r="O297" i="22"/>
  <c r="P297" i="22"/>
  <c r="Q297" i="22"/>
  <c r="R297" i="22"/>
  <c r="S297" i="22"/>
  <c r="T297" i="22"/>
  <c r="M298" i="22"/>
  <c r="N298" i="22"/>
  <c r="O298" i="22"/>
  <c r="P298" i="22"/>
  <c r="Q298" i="22"/>
  <c r="R298" i="22"/>
  <c r="S298" i="22"/>
  <c r="T298" i="22"/>
  <c r="M299" i="22"/>
  <c r="N299" i="22"/>
  <c r="O299" i="22"/>
  <c r="P299" i="22"/>
  <c r="Q299" i="22"/>
  <c r="R299" i="22"/>
  <c r="S299" i="22"/>
  <c r="T299" i="22"/>
  <c r="M300" i="22"/>
  <c r="N300" i="22"/>
  <c r="O300" i="22"/>
  <c r="P300" i="22"/>
  <c r="Q300" i="22"/>
  <c r="R300" i="22"/>
  <c r="S300" i="22"/>
  <c r="T300" i="22"/>
  <c r="M301" i="22"/>
  <c r="N301" i="22"/>
  <c r="O301" i="22"/>
  <c r="P301" i="22"/>
  <c r="Q301" i="22"/>
  <c r="R301" i="22"/>
  <c r="S301" i="22"/>
  <c r="T301" i="22"/>
  <c r="M302" i="22"/>
  <c r="N302" i="22"/>
  <c r="O302" i="22"/>
  <c r="P302" i="22"/>
  <c r="Q302" i="22"/>
  <c r="R302" i="22"/>
  <c r="S302" i="22"/>
  <c r="T302" i="22"/>
  <c r="M303" i="22"/>
  <c r="N303" i="22"/>
  <c r="O303" i="22"/>
  <c r="P303" i="22"/>
  <c r="Q303" i="22"/>
  <c r="R303" i="22"/>
  <c r="S303" i="22"/>
  <c r="T303" i="22"/>
  <c r="M304" i="22"/>
  <c r="N304" i="22"/>
  <c r="O304" i="22"/>
  <c r="P304" i="22"/>
  <c r="Q304" i="22"/>
  <c r="R304" i="22"/>
  <c r="S304" i="22"/>
  <c r="T304" i="22"/>
  <c r="M305" i="22"/>
  <c r="N305" i="22"/>
  <c r="O305" i="22"/>
  <c r="P305" i="22"/>
  <c r="Q305" i="22"/>
  <c r="R305" i="22"/>
  <c r="S305" i="22"/>
  <c r="T305" i="22"/>
  <c r="M306" i="22"/>
  <c r="N306" i="22"/>
  <c r="O306" i="22"/>
  <c r="P306" i="22"/>
  <c r="Q306" i="22"/>
  <c r="R306" i="22"/>
  <c r="S306" i="22"/>
  <c r="T306" i="22"/>
  <c r="M307" i="22"/>
  <c r="N307" i="22"/>
  <c r="O307" i="22"/>
  <c r="P307" i="22"/>
  <c r="Q307" i="22"/>
  <c r="R307" i="22"/>
  <c r="S307" i="22"/>
  <c r="T307" i="22"/>
  <c r="M308" i="22"/>
  <c r="N308" i="22"/>
  <c r="O308" i="22"/>
  <c r="P308" i="22"/>
  <c r="Q308" i="22"/>
  <c r="R308" i="22"/>
  <c r="S308" i="22"/>
  <c r="T308" i="22"/>
  <c r="M309" i="22"/>
  <c r="N309" i="22"/>
  <c r="O309" i="22"/>
  <c r="P309" i="22"/>
  <c r="Q309" i="22"/>
  <c r="R309" i="22"/>
  <c r="S309" i="22"/>
  <c r="T309" i="22"/>
  <c r="O310" i="22"/>
  <c r="P310" i="22"/>
  <c r="Q310" i="22"/>
  <c r="R310" i="22"/>
  <c r="S310" i="22"/>
  <c r="T310" i="22"/>
  <c r="O311" i="22"/>
  <c r="P311" i="22"/>
  <c r="Q311" i="22"/>
  <c r="R311" i="22"/>
  <c r="S311" i="22"/>
  <c r="T311" i="22"/>
  <c r="O312" i="22"/>
  <c r="P312" i="22"/>
  <c r="Q312" i="22"/>
  <c r="R312" i="22"/>
  <c r="S312" i="22"/>
  <c r="T312" i="22"/>
  <c r="O313" i="22"/>
  <c r="P313" i="22"/>
  <c r="Q313" i="22"/>
  <c r="R313" i="22"/>
  <c r="S313" i="22"/>
  <c r="T313" i="22"/>
  <c r="O314" i="22"/>
  <c r="P314" i="22"/>
  <c r="Q314" i="22"/>
  <c r="R314" i="22"/>
  <c r="S314" i="22"/>
  <c r="T314" i="22"/>
  <c r="O315" i="22"/>
  <c r="P315" i="22"/>
  <c r="Q315" i="22"/>
  <c r="R315" i="22"/>
  <c r="S315" i="22"/>
  <c r="T315" i="22"/>
  <c r="O316" i="22"/>
  <c r="P316" i="22"/>
  <c r="Q316" i="22"/>
  <c r="R316" i="22"/>
  <c r="S316" i="22"/>
  <c r="T316" i="22"/>
  <c r="O317" i="22"/>
  <c r="P317" i="22"/>
  <c r="Q317" i="22"/>
  <c r="R317" i="22"/>
  <c r="S317" i="22"/>
  <c r="T317" i="22"/>
  <c r="O318" i="22"/>
  <c r="P318" i="22"/>
  <c r="Q318" i="22"/>
  <c r="R318" i="22"/>
  <c r="S318" i="22"/>
  <c r="T318" i="22"/>
  <c r="O319" i="22"/>
  <c r="P319" i="22"/>
  <c r="Q319" i="22"/>
  <c r="R319" i="22"/>
  <c r="S319" i="22"/>
  <c r="T319" i="22"/>
  <c r="O320" i="22"/>
  <c r="P320" i="22"/>
  <c r="Q320" i="22"/>
  <c r="R320" i="22"/>
  <c r="S320" i="22"/>
  <c r="T320" i="22"/>
  <c r="O321" i="22"/>
  <c r="P321" i="22"/>
  <c r="Q321" i="22"/>
  <c r="R321" i="22"/>
  <c r="S321" i="22"/>
  <c r="T321" i="22"/>
  <c r="M322" i="22"/>
  <c r="N322" i="22"/>
  <c r="O322" i="22"/>
  <c r="P322" i="22"/>
  <c r="Q322" i="22"/>
  <c r="R322" i="22"/>
  <c r="S322" i="22"/>
  <c r="T322" i="22"/>
  <c r="M323" i="22"/>
  <c r="N323" i="22"/>
  <c r="O323" i="22"/>
  <c r="P323" i="22"/>
  <c r="Q323" i="22"/>
  <c r="R323" i="22"/>
  <c r="S323" i="22"/>
  <c r="T323" i="22"/>
  <c r="M324" i="22"/>
  <c r="N324" i="22"/>
  <c r="O324" i="22"/>
  <c r="P324" i="22"/>
  <c r="Q324" i="22"/>
  <c r="R324" i="22"/>
  <c r="S324" i="22"/>
  <c r="T324" i="22"/>
  <c r="M325" i="22"/>
  <c r="N325" i="22"/>
  <c r="O325" i="22"/>
  <c r="P325" i="22"/>
  <c r="Q325" i="22"/>
  <c r="R325" i="22"/>
  <c r="S325" i="22"/>
  <c r="T325" i="22"/>
  <c r="M326" i="22"/>
  <c r="N326" i="22"/>
  <c r="O326" i="22"/>
  <c r="P326" i="22"/>
  <c r="Q326" i="22"/>
  <c r="R326" i="22"/>
  <c r="S326" i="22"/>
  <c r="T326" i="22"/>
  <c r="M327" i="22"/>
  <c r="N327" i="22"/>
  <c r="O327" i="22"/>
  <c r="P327" i="22"/>
  <c r="Q327" i="22"/>
  <c r="R327" i="22"/>
  <c r="S327" i="22"/>
  <c r="T327" i="22"/>
  <c r="M328" i="22"/>
  <c r="N328" i="22"/>
  <c r="O328" i="22"/>
  <c r="P328" i="22"/>
  <c r="Q328" i="22"/>
  <c r="R328" i="22"/>
  <c r="S328" i="22"/>
  <c r="T328" i="22"/>
  <c r="M329" i="22"/>
  <c r="N329" i="22"/>
  <c r="O329" i="22"/>
  <c r="P329" i="22"/>
  <c r="Q329" i="22"/>
  <c r="R329" i="22"/>
  <c r="S329" i="22"/>
  <c r="T329" i="22"/>
  <c r="M330" i="22"/>
  <c r="N330" i="22"/>
  <c r="O330" i="22"/>
  <c r="P330" i="22"/>
  <c r="Q330" i="22"/>
  <c r="R330" i="22"/>
  <c r="S330" i="22"/>
  <c r="T330" i="22"/>
  <c r="M331" i="22"/>
  <c r="N331" i="22"/>
  <c r="O331" i="22"/>
  <c r="P331" i="22"/>
  <c r="Q331" i="22"/>
  <c r="R331" i="22"/>
  <c r="S331" i="22"/>
  <c r="T331" i="22"/>
  <c r="M332" i="22"/>
  <c r="N332" i="22"/>
  <c r="O332" i="22"/>
  <c r="P332" i="22"/>
  <c r="Q332" i="22"/>
  <c r="R332" i="22"/>
  <c r="S332" i="22"/>
  <c r="T332" i="22"/>
  <c r="M333" i="22"/>
  <c r="N333" i="22"/>
  <c r="O333" i="22"/>
  <c r="P333" i="22"/>
  <c r="Q333" i="22"/>
  <c r="R333" i="22"/>
  <c r="S333" i="22"/>
  <c r="T333" i="22"/>
  <c r="O538" i="22"/>
  <c r="P538" i="22"/>
  <c r="Q538" i="22"/>
  <c r="R538" i="22"/>
  <c r="S538" i="22"/>
  <c r="T538" i="22"/>
  <c r="O539" i="22"/>
  <c r="P539" i="22"/>
  <c r="Q539" i="22"/>
  <c r="R539" i="22"/>
  <c r="S539" i="22"/>
  <c r="T539" i="22"/>
  <c r="O540" i="22"/>
  <c r="P540" i="22"/>
  <c r="Q540" i="22"/>
  <c r="R540" i="22"/>
  <c r="S540" i="22"/>
  <c r="T540" i="22"/>
  <c r="O541" i="22"/>
  <c r="P541" i="22"/>
  <c r="Q541" i="22"/>
  <c r="R541" i="22"/>
  <c r="S541" i="22"/>
  <c r="T541" i="22"/>
  <c r="O542" i="22"/>
  <c r="P542" i="22"/>
  <c r="Q542" i="22"/>
  <c r="R542" i="22"/>
  <c r="S542" i="22"/>
  <c r="T542" i="22"/>
  <c r="O543" i="22"/>
  <c r="P543" i="22"/>
  <c r="Q543" i="22"/>
  <c r="R543" i="22"/>
  <c r="S543" i="22"/>
  <c r="T543" i="22"/>
  <c r="O544" i="22"/>
  <c r="P544" i="22"/>
  <c r="Q544" i="22"/>
  <c r="R544" i="22"/>
  <c r="S544" i="22"/>
  <c r="T544" i="22"/>
  <c r="O545" i="22"/>
  <c r="P545" i="22"/>
  <c r="Q545" i="22"/>
  <c r="R545" i="22"/>
  <c r="S545" i="22"/>
  <c r="T545" i="22"/>
  <c r="O546" i="22"/>
  <c r="P546" i="22"/>
  <c r="Q546" i="22"/>
  <c r="R546" i="22"/>
  <c r="S546" i="22"/>
  <c r="T546" i="22"/>
  <c r="O547" i="22"/>
  <c r="P547" i="22"/>
  <c r="Q547" i="22"/>
  <c r="R547" i="22"/>
  <c r="S547" i="22"/>
  <c r="T547" i="22"/>
  <c r="O548" i="22"/>
  <c r="P548" i="22"/>
  <c r="Q548" i="22"/>
  <c r="R548" i="22"/>
  <c r="S548" i="22"/>
  <c r="T548" i="22"/>
  <c r="O549" i="22"/>
  <c r="P549" i="22"/>
  <c r="Q549" i="22"/>
  <c r="R549" i="22"/>
  <c r="S549" i="22"/>
  <c r="T549" i="22"/>
  <c r="O550" i="22"/>
  <c r="P550" i="22"/>
  <c r="Q550" i="22"/>
  <c r="R550" i="22"/>
  <c r="S550" i="22"/>
  <c r="T550" i="22"/>
  <c r="O551" i="22"/>
  <c r="P551" i="22"/>
  <c r="Q551" i="22"/>
  <c r="R551" i="22"/>
  <c r="S551" i="22"/>
  <c r="T551" i="22"/>
  <c r="O552" i="22"/>
  <c r="P552" i="22"/>
  <c r="Q552" i="22"/>
  <c r="R552" i="22"/>
  <c r="S552" i="22"/>
  <c r="T552" i="22"/>
  <c r="O553" i="22"/>
  <c r="P553" i="22"/>
  <c r="Q553" i="22"/>
  <c r="R553" i="22"/>
  <c r="S553" i="22"/>
  <c r="T553" i="22"/>
  <c r="O554" i="22"/>
  <c r="P554" i="22"/>
  <c r="Q554" i="22"/>
  <c r="R554" i="22"/>
  <c r="S554" i="22"/>
  <c r="T554" i="22"/>
  <c r="O555" i="22"/>
  <c r="P555" i="22"/>
  <c r="Q555" i="22"/>
  <c r="R555" i="22"/>
  <c r="S555" i="22"/>
  <c r="T555" i="22"/>
  <c r="O556" i="22"/>
  <c r="P556" i="22"/>
  <c r="Q556" i="22"/>
  <c r="R556" i="22"/>
  <c r="S556" i="22"/>
  <c r="T556" i="22"/>
  <c r="O557" i="22"/>
  <c r="P557" i="22"/>
  <c r="Q557" i="22"/>
  <c r="R557" i="22"/>
  <c r="S557" i="22"/>
  <c r="T557" i="22"/>
  <c r="O558" i="22"/>
  <c r="P558" i="22"/>
  <c r="Q558" i="22"/>
  <c r="R558" i="22"/>
  <c r="S558" i="22"/>
  <c r="T558" i="22"/>
  <c r="O559" i="22"/>
  <c r="P559" i="22"/>
  <c r="Q559" i="22"/>
  <c r="R559" i="22"/>
  <c r="S559" i="22"/>
  <c r="T559" i="22"/>
  <c r="O560" i="22"/>
  <c r="P560" i="22"/>
  <c r="Q560" i="22"/>
  <c r="R560" i="22"/>
  <c r="S560" i="22"/>
  <c r="T560" i="22"/>
  <c r="O561" i="22"/>
  <c r="P561" i="22"/>
  <c r="Q561" i="22"/>
  <c r="R561" i="22"/>
  <c r="S561" i="22"/>
  <c r="T561" i="22"/>
  <c r="O562" i="22"/>
  <c r="P562" i="22"/>
  <c r="Q562" i="22"/>
  <c r="R562" i="22"/>
  <c r="S562" i="22"/>
  <c r="T562" i="22"/>
  <c r="O563" i="22"/>
  <c r="P563" i="22"/>
  <c r="Q563" i="22"/>
  <c r="R563" i="22"/>
  <c r="S563" i="22"/>
  <c r="T563" i="22"/>
  <c r="O564" i="22"/>
  <c r="P564" i="22"/>
  <c r="Q564" i="22"/>
  <c r="R564" i="22"/>
  <c r="S564" i="22"/>
  <c r="T564" i="22"/>
  <c r="O565" i="22"/>
  <c r="P565" i="22"/>
  <c r="Q565" i="22"/>
  <c r="R565" i="22"/>
  <c r="S565" i="22"/>
  <c r="T565" i="22"/>
  <c r="O566" i="22"/>
  <c r="P566" i="22"/>
  <c r="Q566" i="22"/>
  <c r="R566" i="22"/>
  <c r="S566" i="22"/>
  <c r="T566" i="22"/>
  <c r="O567" i="22"/>
  <c r="P567" i="22"/>
  <c r="Q567" i="22"/>
  <c r="R567" i="22"/>
  <c r="S567" i="22"/>
  <c r="T567" i="22"/>
  <c r="O568" i="22"/>
  <c r="P568" i="22"/>
  <c r="Q568" i="22"/>
  <c r="R568" i="22"/>
  <c r="S568" i="22"/>
  <c r="T568" i="22"/>
  <c r="O569" i="22"/>
  <c r="P569" i="22"/>
  <c r="Q569" i="22"/>
  <c r="R569" i="22"/>
  <c r="S569" i="22"/>
  <c r="T569" i="22"/>
  <c r="O570" i="22"/>
  <c r="P570" i="22"/>
  <c r="Q570" i="22"/>
  <c r="R570" i="22"/>
  <c r="S570" i="22"/>
  <c r="T570" i="22"/>
  <c r="O571" i="22"/>
  <c r="P571" i="22"/>
  <c r="Q571" i="22"/>
  <c r="R571" i="22"/>
  <c r="S571" i="22"/>
  <c r="T571" i="22"/>
  <c r="O572" i="22"/>
  <c r="P572" i="22"/>
  <c r="Q572" i="22"/>
  <c r="R572" i="22"/>
  <c r="S572" i="22"/>
  <c r="T572" i="22"/>
  <c r="O573" i="22"/>
  <c r="P573" i="22"/>
  <c r="Q573" i="22"/>
  <c r="R573" i="22"/>
  <c r="S573" i="22"/>
  <c r="T573" i="22"/>
  <c r="O586" i="22"/>
  <c r="P586" i="22"/>
  <c r="Q586" i="22"/>
  <c r="R586" i="22"/>
  <c r="S586" i="22"/>
  <c r="T586" i="22"/>
  <c r="O587" i="22"/>
  <c r="P587" i="22"/>
  <c r="Q587" i="22"/>
  <c r="R587" i="22"/>
  <c r="S587" i="22"/>
  <c r="T587" i="22"/>
  <c r="O588" i="22"/>
  <c r="P588" i="22"/>
  <c r="Q588" i="22"/>
  <c r="R588" i="22"/>
  <c r="S588" i="22"/>
  <c r="T588" i="22"/>
  <c r="O589" i="22"/>
  <c r="P589" i="22"/>
  <c r="Q589" i="22"/>
  <c r="R589" i="22"/>
  <c r="S589" i="22"/>
  <c r="T589" i="22"/>
  <c r="O590" i="22"/>
  <c r="P590" i="22"/>
  <c r="Q590" i="22"/>
  <c r="R590" i="22"/>
  <c r="S590" i="22"/>
  <c r="T590" i="22"/>
  <c r="O591" i="22"/>
  <c r="P591" i="22"/>
  <c r="Q591" i="22"/>
  <c r="R591" i="22"/>
  <c r="S591" i="22"/>
  <c r="T591" i="22"/>
  <c r="O592" i="22"/>
  <c r="P592" i="22"/>
  <c r="Q592" i="22"/>
  <c r="R592" i="22"/>
  <c r="S592" i="22"/>
  <c r="T592" i="22"/>
  <c r="O593" i="22"/>
  <c r="P593" i="22"/>
  <c r="Q593" i="22"/>
  <c r="R593" i="22"/>
  <c r="S593" i="22"/>
  <c r="T593" i="22"/>
  <c r="O594" i="22"/>
  <c r="P594" i="22"/>
  <c r="Q594" i="22"/>
  <c r="R594" i="22"/>
  <c r="S594" i="22"/>
  <c r="T594" i="22"/>
  <c r="O595" i="22"/>
  <c r="P595" i="22"/>
  <c r="Q595" i="22"/>
  <c r="R595" i="22"/>
  <c r="S595" i="22"/>
  <c r="T595" i="22"/>
  <c r="O596" i="22"/>
  <c r="P596" i="22"/>
  <c r="Q596" i="22"/>
  <c r="R596" i="22"/>
  <c r="S596" i="22"/>
  <c r="T596" i="22"/>
  <c r="O597" i="22"/>
  <c r="P597" i="22"/>
  <c r="Q597" i="22"/>
  <c r="R597" i="22"/>
  <c r="S597" i="22"/>
  <c r="T597" i="22"/>
  <c r="O610" i="22"/>
  <c r="P610" i="22"/>
  <c r="Q610" i="22"/>
  <c r="R610" i="22"/>
  <c r="S610" i="22"/>
  <c r="T610" i="22"/>
  <c r="O611" i="22"/>
  <c r="P611" i="22"/>
  <c r="Q611" i="22"/>
  <c r="R611" i="22"/>
  <c r="S611" i="22"/>
  <c r="T611" i="22"/>
  <c r="O612" i="22"/>
  <c r="P612" i="22"/>
  <c r="Q612" i="22"/>
  <c r="R612" i="22"/>
  <c r="S612" i="22"/>
  <c r="T612" i="22"/>
  <c r="O613" i="22"/>
  <c r="P613" i="22"/>
  <c r="Q613" i="22"/>
  <c r="R613" i="22"/>
  <c r="S613" i="22"/>
  <c r="T613" i="22"/>
  <c r="O614" i="22"/>
  <c r="P614" i="22"/>
  <c r="Q614" i="22"/>
  <c r="R614" i="22"/>
  <c r="S614" i="22"/>
  <c r="T614" i="22"/>
  <c r="O615" i="22"/>
  <c r="P615" i="22"/>
  <c r="Q615" i="22"/>
  <c r="R615" i="22"/>
  <c r="S615" i="22"/>
  <c r="T615" i="22"/>
  <c r="O616" i="22"/>
  <c r="P616" i="22"/>
  <c r="Q616" i="22"/>
  <c r="R616" i="22"/>
  <c r="S616" i="22"/>
  <c r="T616" i="22"/>
  <c r="O617" i="22"/>
  <c r="P617" i="22"/>
  <c r="Q617" i="22"/>
  <c r="R617" i="22"/>
  <c r="S617" i="22"/>
  <c r="T617" i="22"/>
  <c r="O618" i="22"/>
  <c r="P618" i="22"/>
  <c r="Q618" i="22"/>
  <c r="R618" i="22"/>
  <c r="S618" i="22"/>
  <c r="T618" i="22"/>
  <c r="O619" i="22"/>
  <c r="P619" i="22"/>
  <c r="Q619" i="22"/>
  <c r="R619" i="22"/>
  <c r="S619" i="22"/>
  <c r="T619" i="22"/>
  <c r="O620" i="22"/>
  <c r="P620" i="22"/>
  <c r="Q620" i="22"/>
  <c r="R620" i="22"/>
  <c r="S620" i="22"/>
  <c r="T620" i="22"/>
  <c r="O621" i="22"/>
  <c r="P621" i="22"/>
  <c r="Q621" i="22"/>
  <c r="R621" i="22"/>
  <c r="S621" i="22"/>
  <c r="T621" i="22"/>
  <c r="M143" i="22"/>
  <c r="N143" i="22"/>
  <c r="O143" i="22"/>
  <c r="P143" i="22"/>
  <c r="Q143" i="22"/>
  <c r="R143" i="22"/>
  <c r="S143" i="22"/>
  <c r="T143" i="22"/>
  <c r="M144" i="22"/>
  <c r="N144" i="22"/>
  <c r="O144" i="22"/>
  <c r="P144" i="22"/>
  <c r="Q144" i="22"/>
  <c r="R144" i="22"/>
  <c r="S144" i="22"/>
  <c r="T144" i="22"/>
  <c r="M145" i="22"/>
  <c r="N145" i="22"/>
  <c r="O145" i="22"/>
  <c r="P145" i="22"/>
  <c r="Q145" i="22"/>
  <c r="R145" i="22"/>
  <c r="S145" i="22"/>
  <c r="T145" i="22"/>
  <c r="M146" i="22"/>
  <c r="N146" i="22"/>
  <c r="O146" i="22"/>
  <c r="P146" i="22"/>
  <c r="Q146" i="22"/>
  <c r="R146" i="22"/>
  <c r="S146" i="22"/>
  <c r="T146" i="22"/>
  <c r="M147" i="22"/>
  <c r="N147" i="22"/>
  <c r="O147" i="22"/>
  <c r="P147" i="22"/>
  <c r="Q147" i="22"/>
  <c r="R147" i="22"/>
  <c r="S147" i="22"/>
  <c r="T147" i="22"/>
  <c r="M148" i="22"/>
  <c r="N148" i="22"/>
  <c r="O148" i="22"/>
  <c r="P148" i="22"/>
  <c r="Q148" i="22"/>
  <c r="R148" i="22"/>
  <c r="S148" i="22"/>
  <c r="T148" i="22"/>
  <c r="M149" i="22"/>
  <c r="N149" i="22"/>
  <c r="O149" i="22"/>
  <c r="P149" i="22"/>
  <c r="Q149" i="22"/>
  <c r="R149" i="22"/>
  <c r="S149" i="22"/>
  <c r="T149" i="22"/>
  <c r="M150" i="22"/>
  <c r="N150" i="22"/>
  <c r="O150" i="22"/>
  <c r="P150" i="22"/>
  <c r="Q150" i="22"/>
  <c r="R150" i="22"/>
  <c r="S150" i="22"/>
  <c r="T150" i="22"/>
  <c r="M151" i="22"/>
  <c r="N151" i="22"/>
  <c r="O151" i="22"/>
  <c r="P151" i="22"/>
  <c r="Q151" i="22"/>
  <c r="R151" i="22"/>
  <c r="S151" i="22"/>
  <c r="T151" i="22"/>
  <c r="M152" i="22"/>
  <c r="N152" i="22"/>
  <c r="O152" i="22"/>
  <c r="P152" i="22"/>
  <c r="Q152" i="22"/>
  <c r="R152" i="22"/>
  <c r="S152" i="22"/>
  <c r="T152" i="22"/>
  <c r="M153" i="22"/>
  <c r="N153" i="22"/>
  <c r="O153" i="22"/>
  <c r="P153" i="22"/>
  <c r="Q153" i="22"/>
  <c r="R153" i="22"/>
  <c r="S153" i="22"/>
  <c r="T153" i="22"/>
  <c r="T142" i="22"/>
  <c r="S142" i="22"/>
  <c r="R142" i="22"/>
  <c r="Q142" i="22"/>
  <c r="P142" i="22"/>
  <c r="O142" i="22"/>
  <c r="M142" i="22"/>
  <c r="N142" i="22"/>
  <c r="M131" i="22"/>
  <c r="N131" i="22"/>
  <c r="O131" i="22"/>
  <c r="P131" i="22"/>
  <c r="Q131" i="22"/>
  <c r="R131" i="22"/>
  <c r="S131" i="22"/>
  <c r="T131" i="22"/>
  <c r="M132" i="22"/>
  <c r="N132" i="22"/>
  <c r="O132" i="22"/>
  <c r="P132" i="22"/>
  <c r="Q132" i="22"/>
  <c r="R132" i="22"/>
  <c r="S132" i="22"/>
  <c r="T132" i="22"/>
  <c r="M133" i="22"/>
  <c r="N133" i="22"/>
  <c r="O133" i="22"/>
  <c r="P133" i="22"/>
  <c r="Q133" i="22"/>
  <c r="R133" i="22"/>
  <c r="S133" i="22"/>
  <c r="T133" i="22"/>
  <c r="M134" i="22"/>
  <c r="N134" i="22"/>
  <c r="O134" i="22"/>
  <c r="P134" i="22"/>
  <c r="Q134" i="22"/>
  <c r="R134" i="22"/>
  <c r="S134" i="22"/>
  <c r="T134" i="22"/>
  <c r="M135" i="22"/>
  <c r="N135" i="22"/>
  <c r="O135" i="22"/>
  <c r="P135" i="22"/>
  <c r="Q135" i="22"/>
  <c r="R135" i="22"/>
  <c r="S135" i="22"/>
  <c r="T135" i="22"/>
  <c r="M136" i="22"/>
  <c r="N136" i="22"/>
  <c r="O136" i="22"/>
  <c r="P136" i="22"/>
  <c r="Q136" i="22"/>
  <c r="R136" i="22"/>
  <c r="S136" i="22"/>
  <c r="T136" i="22"/>
  <c r="M137" i="22"/>
  <c r="N137" i="22"/>
  <c r="O137" i="22"/>
  <c r="P137" i="22"/>
  <c r="Q137" i="22"/>
  <c r="R137" i="22"/>
  <c r="S137" i="22"/>
  <c r="T137" i="22"/>
  <c r="M138" i="22"/>
  <c r="N138" i="22"/>
  <c r="O138" i="22"/>
  <c r="P138" i="22"/>
  <c r="Q138" i="22"/>
  <c r="R138" i="22"/>
  <c r="S138" i="22"/>
  <c r="T138" i="22"/>
  <c r="M139" i="22"/>
  <c r="N139" i="22"/>
  <c r="O139" i="22"/>
  <c r="P139" i="22"/>
  <c r="Q139" i="22"/>
  <c r="R139" i="22"/>
  <c r="S139" i="22"/>
  <c r="T139" i="22"/>
  <c r="M140" i="22"/>
  <c r="N140" i="22"/>
  <c r="O140" i="22"/>
  <c r="P140" i="22"/>
  <c r="Q140" i="22"/>
  <c r="R140" i="22"/>
  <c r="S140" i="22"/>
  <c r="T140" i="22"/>
  <c r="M141" i="22"/>
  <c r="N141" i="22"/>
  <c r="O141" i="22"/>
  <c r="P141" i="22"/>
  <c r="Q141" i="22"/>
  <c r="R141" i="22"/>
  <c r="S141" i="22"/>
  <c r="T141" i="22"/>
  <c r="T130" i="22"/>
  <c r="Q130" i="22"/>
  <c r="S130" i="22"/>
  <c r="R130" i="22"/>
  <c r="P130" i="22"/>
  <c r="O130" i="22"/>
  <c r="M130" i="22"/>
  <c r="N130" i="22"/>
  <c r="M95" i="22"/>
  <c r="N95" i="22"/>
  <c r="O95" i="22"/>
  <c r="P95" i="22"/>
  <c r="Q95" i="22"/>
  <c r="R95" i="22"/>
  <c r="S95" i="22"/>
  <c r="T95" i="22"/>
  <c r="M96" i="22"/>
  <c r="N96" i="22"/>
  <c r="O96" i="22"/>
  <c r="P96" i="22"/>
  <c r="Q96" i="22"/>
  <c r="R96" i="22"/>
  <c r="S96" i="22"/>
  <c r="T96" i="22"/>
  <c r="M97" i="22"/>
  <c r="N97" i="22"/>
  <c r="O97" i="22"/>
  <c r="P97" i="22"/>
  <c r="Q97" i="22"/>
  <c r="R97" i="22"/>
  <c r="S97" i="22"/>
  <c r="T97" i="22"/>
  <c r="M98" i="22"/>
  <c r="N98" i="22"/>
  <c r="O98" i="22"/>
  <c r="P98" i="22"/>
  <c r="Q98" i="22"/>
  <c r="R98" i="22"/>
  <c r="S98" i="22"/>
  <c r="T98" i="22"/>
  <c r="M99" i="22"/>
  <c r="N99" i="22"/>
  <c r="O99" i="22"/>
  <c r="P99" i="22"/>
  <c r="Q99" i="22"/>
  <c r="R99" i="22"/>
  <c r="S99" i="22"/>
  <c r="T99" i="22"/>
  <c r="M100" i="22"/>
  <c r="N100" i="22"/>
  <c r="O100" i="22"/>
  <c r="P100" i="22"/>
  <c r="Q100" i="22"/>
  <c r="R100" i="22"/>
  <c r="S100" i="22"/>
  <c r="T100" i="22"/>
  <c r="M101" i="22"/>
  <c r="N101" i="22"/>
  <c r="O101" i="22"/>
  <c r="P101" i="22"/>
  <c r="Q101" i="22"/>
  <c r="R101" i="22"/>
  <c r="S101" i="22"/>
  <c r="T101" i="22"/>
  <c r="M102" i="22"/>
  <c r="N102" i="22"/>
  <c r="O102" i="22"/>
  <c r="P102" i="22"/>
  <c r="Q102" i="22"/>
  <c r="R102" i="22"/>
  <c r="S102" i="22"/>
  <c r="T102" i="22"/>
  <c r="M103" i="22"/>
  <c r="N103" i="22"/>
  <c r="O103" i="22"/>
  <c r="P103" i="22"/>
  <c r="Q103" i="22"/>
  <c r="R103" i="22"/>
  <c r="S103" i="22"/>
  <c r="T103" i="22"/>
  <c r="M104" i="22"/>
  <c r="N104" i="22"/>
  <c r="O104" i="22"/>
  <c r="P104" i="22"/>
  <c r="Q104" i="22"/>
  <c r="R104" i="22"/>
  <c r="S104" i="22"/>
  <c r="T104" i="22"/>
  <c r="M105" i="22"/>
  <c r="N105" i="22"/>
  <c r="O105" i="22"/>
  <c r="P105" i="22"/>
  <c r="Q105" i="22"/>
  <c r="R105" i="22"/>
  <c r="S105" i="22"/>
  <c r="T105" i="22"/>
  <c r="T94" i="22"/>
  <c r="Q94" i="22"/>
  <c r="S94" i="22"/>
  <c r="R94" i="22"/>
  <c r="P94" i="22"/>
  <c r="O94" i="22"/>
  <c r="M94" i="22"/>
  <c r="N94" i="22"/>
  <c r="M47" i="22"/>
  <c r="N47" i="22"/>
  <c r="O47" i="22"/>
  <c r="P47" i="22"/>
  <c r="Q47" i="22"/>
  <c r="R47" i="22"/>
  <c r="S47" i="22"/>
  <c r="T47" i="22"/>
  <c r="M48" i="22"/>
  <c r="N48" i="22"/>
  <c r="O48" i="22"/>
  <c r="P48" i="22"/>
  <c r="Q48" i="22"/>
  <c r="R48" i="22"/>
  <c r="S48" i="22"/>
  <c r="T48" i="22"/>
  <c r="M49" i="22"/>
  <c r="N49" i="22"/>
  <c r="O49" i="22"/>
  <c r="P49" i="22"/>
  <c r="Q49" i="22"/>
  <c r="R49" i="22"/>
  <c r="S49" i="22"/>
  <c r="T49" i="22"/>
  <c r="M50" i="22"/>
  <c r="N50" i="22"/>
  <c r="O50" i="22"/>
  <c r="P50" i="22"/>
  <c r="Q50" i="22"/>
  <c r="R50" i="22"/>
  <c r="S50" i="22"/>
  <c r="T50" i="22"/>
  <c r="M51" i="22"/>
  <c r="N51" i="22"/>
  <c r="O51" i="22"/>
  <c r="P51" i="22"/>
  <c r="Q51" i="22"/>
  <c r="R51" i="22"/>
  <c r="S51" i="22"/>
  <c r="T51" i="22"/>
  <c r="M52" i="22"/>
  <c r="N52" i="22"/>
  <c r="O52" i="22"/>
  <c r="P52" i="22"/>
  <c r="Q52" i="22"/>
  <c r="R52" i="22"/>
  <c r="S52" i="22"/>
  <c r="T52" i="22"/>
  <c r="M53" i="22"/>
  <c r="N53" i="22"/>
  <c r="O53" i="22"/>
  <c r="P53" i="22"/>
  <c r="Q53" i="22"/>
  <c r="R53" i="22"/>
  <c r="S53" i="22"/>
  <c r="T53" i="22"/>
  <c r="M54" i="22"/>
  <c r="N54" i="22"/>
  <c r="O54" i="22"/>
  <c r="P54" i="22"/>
  <c r="Q54" i="22"/>
  <c r="R54" i="22"/>
  <c r="S54" i="22"/>
  <c r="T54" i="22"/>
  <c r="M55" i="22"/>
  <c r="N55" i="22"/>
  <c r="O55" i="22"/>
  <c r="P55" i="22"/>
  <c r="Q55" i="22"/>
  <c r="R55" i="22"/>
  <c r="S55" i="22"/>
  <c r="T55" i="22"/>
  <c r="M56" i="22"/>
  <c r="N56" i="22"/>
  <c r="O56" i="22"/>
  <c r="P56" i="22"/>
  <c r="Q56" i="22"/>
  <c r="R56" i="22"/>
  <c r="S56" i="22"/>
  <c r="T56" i="22"/>
  <c r="M57" i="22"/>
  <c r="N57" i="22"/>
  <c r="O57" i="22"/>
  <c r="P57" i="22"/>
  <c r="Q57" i="22"/>
  <c r="R57" i="22"/>
  <c r="S57" i="22"/>
  <c r="T57" i="22"/>
  <c r="T46" i="22"/>
  <c r="Q46" i="22"/>
  <c r="S46" i="22"/>
  <c r="R46" i="22"/>
  <c r="P46" i="22"/>
  <c r="O46" i="22"/>
  <c r="M46" i="22"/>
  <c r="N46" i="22"/>
  <c r="M23" i="22"/>
  <c r="N23" i="22"/>
  <c r="O23" i="22"/>
  <c r="P23" i="22"/>
  <c r="Q23" i="22"/>
  <c r="R23" i="22"/>
  <c r="S23" i="22"/>
  <c r="T23" i="22"/>
  <c r="M24" i="22"/>
  <c r="N24" i="22"/>
  <c r="O24" i="22"/>
  <c r="P24" i="22"/>
  <c r="Q24" i="22"/>
  <c r="R24" i="22"/>
  <c r="S24" i="22"/>
  <c r="T24" i="22"/>
  <c r="M25" i="22"/>
  <c r="N25" i="22"/>
  <c r="O25" i="22"/>
  <c r="P25" i="22"/>
  <c r="Q25" i="22"/>
  <c r="R25" i="22"/>
  <c r="S25" i="22"/>
  <c r="T25" i="22"/>
  <c r="M26" i="22"/>
  <c r="N26" i="22"/>
  <c r="O26" i="22"/>
  <c r="P26" i="22"/>
  <c r="Q26" i="22"/>
  <c r="R26" i="22"/>
  <c r="S26" i="22"/>
  <c r="T26" i="22"/>
  <c r="M27" i="22"/>
  <c r="N27" i="22"/>
  <c r="O27" i="22"/>
  <c r="P27" i="22"/>
  <c r="Q27" i="22"/>
  <c r="R27" i="22"/>
  <c r="S27" i="22"/>
  <c r="T27" i="22"/>
  <c r="M28" i="22"/>
  <c r="N28" i="22"/>
  <c r="O28" i="22"/>
  <c r="P28" i="22"/>
  <c r="Q28" i="22"/>
  <c r="R28" i="22"/>
  <c r="S28" i="22"/>
  <c r="T28" i="22"/>
  <c r="M29" i="22"/>
  <c r="N29" i="22"/>
  <c r="O29" i="22"/>
  <c r="P29" i="22"/>
  <c r="Q29" i="22"/>
  <c r="R29" i="22"/>
  <c r="S29" i="22"/>
  <c r="T29" i="22"/>
  <c r="M30" i="22"/>
  <c r="N30" i="22"/>
  <c r="O30" i="22"/>
  <c r="P30" i="22"/>
  <c r="Q30" i="22"/>
  <c r="R30" i="22"/>
  <c r="S30" i="22"/>
  <c r="T30" i="22"/>
  <c r="M31" i="22"/>
  <c r="N31" i="22"/>
  <c r="O31" i="22"/>
  <c r="P31" i="22"/>
  <c r="Q31" i="22"/>
  <c r="R31" i="22"/>
  <c r="S31" i="22"/>
  <c r="T31" i="22"/>
  <c r="M32" i="22"/>
  <c r="N32" i="22"/>
  <c r="O32" i="22"/>
  <c r="P32" i="22"/>
  <c r="Q32" i="22"/>
  <c r="R32" i="22"/>
  <c r="S32" i="22"/>
  <c r="T32" i="22"/>
  <c r="M33" i="22"/>
  <c r="N33" i="22"/>
  <c r="O33" i="22"/>
  <c r="P33" i="22"/>
  <c r="Q33" i="22"/>
  <c r="R33" i="22"/>
  <c r="S33" i="22"/>
  <c r="T33" i="22"/>
  <c r="T22" i="22"/>
  <c r="Q22" i="22"/>
  <c r="S22" i="22"/>
  <c r="R22" i="22"/>
  <c r="P22" i="22"/>
  <c r="O22" i="22"/>
  <c r="M22" i="22"/>
  <c r="N22" i="22"/>
  <c r="L299" i="22"/>
  <c r="L300" i="22"/>
  <c r="L301" i="22"/>
  <c r="L302" i="22"/>
  <c r="L303" i="22"/>
  <c r="L304" i="22"/>
  <c r="L305" i="22"/>
  <c r="L306" i="22"/>
  <c r="L307" i="22"/>
  <c r="L308" i="22"/>
  <c r="L309" i="22"/>
  <c r="L786" i="22" l="1"/>
  <c r="AF786" i="22" s="1"/>
  <c r="L798" i="22"/>
  <c r="AF798" i="22" s="1"/>
  <c r="AF810" i="22"/>
  <c r="L782" i="22"/>
  <c r="AF782" i="22" s="1"/>
  <c r="L794" i="22"/>
  <c r="AF794" i="22" s="1"/>
  <c r="AF806" i="22"/>
  <c r="L778" i="22"/>
  <c r="L790" i="22"/>
  <c r="AF790" i="22" s="1"/>
  <c r="L789" i="22"/>
  <c r="AF789" i="22" s="1"/>
  <c r="L801" i="22"/>
  <c r="AF801" i="22" s="1"/>
  <c r="AF813" i="22"/>
  <c r="L785" i="22"/>
  <c r="AF785" i="22" s="1"/>
  <c r="L797" i="22"/>
  <c r="AF797" i="22" s="1"/>
  <c r="AF809" i="22"/>
  <c r="L781" i="22"/>
  <c r="AF781" i="22" s="1"/>
  <c r="L793" i="22"/>
  <c r="AF793" i="22" s="1"/>
  <c r="AF805" i="22"/>
  <c r="L788" i="22"/>
  <c r="AF788" i="22" s="1"/>
  <c r="L800" i="22"/>
  <c r="AF800" i="22" s="1"/>
  <c r="AF812" i="22"/>
  <c r="L784" i="22"/>
  <c r="AF784" i="22" s="1"/>
  <c r="L796" i="22"/>
  <c r="AF796" i="22" s="1"/>
  <c r="AF808" i="22"/>
  <c r="L780" i="22"/>
  <c r="AF780" i="22" s="1"/>
  <c r="L792" i="22"/>
  <c r="AF792" i="22" s="1"/>
  <c r="AF804" i="22"/>
  <c r="L787" i="22"/>
  <c r="AF787" i="22" s="1"/>
  <c r="AF811" i="22"/>
  <c r="L799" i="22"/>
  <c r="AF799" i="22" s="1"/>
  <c r="L783" i="22"/>
  <c r="AF783" i="22" s="1"/>
  <c r="AF807" i="22"/>
  <c r="L795" i="22"/>
  <c r="AF795" i="22" s="1"/>
  <c r="L779" i="22"/>
  <c r="AF779" i="22" s="1"/>
  <c r="AF803" i="22"/>
  <c r="L791" i="22"/>
  <c r="AF791" i="22" s="1"/>
  <c r="Q778" i="22"/>
  <c r="Q790" i="22"/>
  <c r="AK790" i="22" s="1"/>
  <c r="R789" i="22"/>
  <c r="R801" i="22"/>
  <c r="AL801" i="22" s="1"/>
  <c r="P788" i="22"/>
  <c r="P800" i="22"/>
  <c r="AJ800" i="22" s="1"/>
  <c r="P784" i="22"/>
  <c r="P796" i="22"/>
  <c r="AJ796" i="22" s="1"/>
  <c r="R783" i="22"/>
  <c r="R795" i="22"/>
  <c r="AL795" i="22" s="1"/>
  <c r="P782" i="22"/>
  <c r="P794" i="22"/>
  <c r="AJ794" i="22" s="1"/>
  <c r="P780" i="22"/>
  <c r="P792" i="22"/>
  <c r="AJ792" i="22" s="1"/>
  <c r="S790" i="22"/>
  <c r="AM790" i="22" s="1"/>
  <c r="S778" i="22"/>
  <c r="Q801" i="22"/>
  <c r="AK801" i="22" s="1"/>
  <c r="Q789" i="22"/>
  <c r="S788" i="22"/>
  <c r="S800" i="22"/>
  <c r="AM800" i="22" s="1"/>
  <c r="O788" i="22"/>
  <c r="O800" i="22"/>
  <c r="AI800" i="22" s="1"/>
  <c r="Q787" i="22"/>
  <c r="Q799" i="22"/>
  <c r="AK799" i="22" s="1"/>
  <c r="S798" i="22"/>
  <c r="AM798" i="22" s="1"/>
  <c r="S786" i="22"/>
  <c r="O786" i="22"/>
  <c r="O798" i="22"/>
  <c r="AI798" i="22" s="1"/>
  <c r="Q797" i="22"/>
  <c r="AK797" i="22" s="1"/>
  <c r="Q785" i="22"/>
  <c r="S784" i="22"/>
  <c r="S796" i="22"/>
  <c r="AM796" i="22" s="1"/>
  <c r="O784" i="22"/>
  <c r="O796" i="22"/>
  <c r="AI796" i="22" s="1"/>
  <c r="Q783" i="22"/>
  <c r="Q795" i="22"/>
  <c r="AK795" i="22" s="1"/>
  <c r="S794" i="22"/>
  <c r="AM794" i="22" s="1"/>
  <c r="S782" i="22"/>
  <c r="O782" i="22"/>
  <c r="O794" i="22"/>
  <c r="AI794" i="22" s="1"/>
  <c r="Q793" i="22"/>
  <c r="AK793" i="22" s="1"/>
  <c r="Q781" i="22"/>
  <c r="S780" i="22"/>
  <c r="S792" i="22"/>
  <c r="AM792" i="22" s="1"/>
  <c r="O780" i="22"/>
  <c r="O792" i="22"/>
  <c r="AI792" i="22" s="1"/>
  <c r="Q779" i="22"/>
  <c r="Q791" i="22"/>
  <c r="AK791" i="22" s="1"/>
  <c r="O790" i="22"/>
  <c r="AI790" i="22" s="1"/>
  <c r="O778" i="22"/>
  <c r="R785" i="22"/>
  <c r="R797" i="22"/>
  <c r="AL797" i="22" s="1"/>
  <c r="R790" i="22"/>
  <c r="AL790" i="22" s="1"/>
  <c r="R778" i="22"/>
  <c r="P801" i="22"/>
  <c r="AJ801" i="22" s="1"/>
  <c r="P789" i="22"/>
  <c r="R800" i="22"/>
  <c r="AL800" i="22" s="1"/>
  <c r="R788" i="22"/>
  <c r="P799" i="22"/>
  <c r="AJ799" i="22" s="1"/>
  <c r="P787" i="22"/>
  <c r="R798" i="22"/>
  <c r="AL798" i="22" s="1"/>
  <c r="R786" i="22"/>
  <c r="P785" i="22"/>
  <c r="P797" i="22"/>
  <c r="AJ797" i="22" s="1"/>
  <c r="R796" i="22"/>
  <c r="AL796" i="22" s="1"/>
  <c r="R784" i="22"/>
  <c r="P795" i="22"/>
  <c r="AJ795" i="22" s="1"/>
  <c r="P783" i="22"/>
  <c r="R794" i="22"/>
  <c r="AL794" i="22" s="1"/>
  <c r="R782" i="22"/>
  <c r="P781" i="22"/>
  <c r="P793" i="22"/>
  <c r="AJ793" i="22" s="1"/>
  <c r="R792" i="22"/>
  <c r="AL792" i="22" s="1"/>
  <c r="R780" i="22"/>
  <c r="P791" i="22"/>
  <c r="AJ791" i="22" s="1"/>
  <c r="P779" i="22"/>
  <c r="R787" i="22"/>
  <c r="R799" i="22"/>
  <c r="AL799" i="22" s="1"/>
  <c r="P786" i="22"/>
  <c r="P798" i="22"/>
  <c r="AJ798" i="22" s="1"/>
  <c r="R781" i="22"/>
  <c r="R793" i="22"/>
  <c r="AL793" i="22" s="1"/>
  <c r="R779" i="22"/>
  <c r="R791" i="22"/>
  <c r="AL791" i="22" s="1"/>
  <c r="P790" i="22"/>
  <c r="AJ790" i="22" s="1"/>
  <c r="P778" i="22"/>
  <c r="S801" i="22"/>
  <c r="AM801" i="22" s="1"/>
  <c r="S789" i="22"/>
  <c r="O801" i="22"/>
  <c r="AI801" i="22" s="1"/>
  <c r="O789" i="22"/>
  <c r="Q800" i="22"/>
  <c r="AK800" i="22" s="1"/>
  <c r="Q788" i="22"/>
  <c r="S799" i="22"/>
  <c r="AM799" i="22" s="1"/>
  <c r="S787" i="22"/>
  <c r="O799" i="22"/>
  <c r="AI799" i="22" s="1"/>
  <c r="O787" i="22"/>
  <c r="Q798" i="22"/>
  <c r="AK798" i="22" s="1"/>
  <c r="Q786" i="22"/>
  <c r="S797" i="22"/>
  <c r="AM797" i="22" s="1"/>
  <c r="S785" i="22"/>
  <c r="O797" i="22"/>
  <c r="AI797" i="22" s="1"/>
  <c r="O785" i="22"/>
  <c r="Q796" i="22"/>
  <c r="AK796" i="22" s="1"/>
  <c r="Q784" i="22"/>
  <c r="S795" i="22"/>
  <c r="AM795" i="22" s="1"/>
  <c r="S783" i="22"/>
  <c r="O795" i="22"/>
  <c r="AI795" i="22" s="1"/>
  <c r="O783" i="22"/>
  <c r="Q794" i="22"/>
  <c r="AK794" i="22" s="1"/>
  <c r="Q782" i="22"/>
  <c r="S793" i="22"/>
  <c r="AM793" i="22" s="1"/>
  <c r="S781" i="22"/>
  <c r="O793" i="22"/>
  <c r="AI793" i="22" s="1"/>
  <c r="O781" i="22"/>
  <c r="Q792" i="22"/>
  <c r="AK792" i="22" s="1"/>
  <c r="Q780" i="22"/>
  <c r="S791" i="22"/>
  <c r="AM791" i="22" s="1"/>
  <c r="S779" i="22"/>
  <c r="O791" i="22"/>
  <c r="AI791" i="22" s="1"/>
  <c r="O779" i="22"/>
  <c r="P646" i="22"/>
  <c r="T646" i="22"/>
  <c r="P190" i="22"/>
  <c r="P178" i="22"/>
  <c r="P166" i="22"/>
  <c r="T189" i="22"/>
  <c r="T177" i="22"/>
  <c r="P188" i="22"/>
  <c r="P176" i="22"/>
  <c r="T186" i="22"/>
  <c r="T174" i="22"/>
  <c r="T185" i="22"/>
  <c r="T173" i="22"/>
  <c r="P184" i="22"/>
  <c r="P172" i="22"/>
  <c r="T182" i="22"/>
  <c r="T170" i="22"/>
  <c r="T181" i="22"/>
  <c r="T169" i="22"/>
  <c r="P180" i="22"/>
  <c r="P168" i="22"/>
  <c r="T179" i="22"/>
  <c r="T167" i="22"/>
  <c r="P179" i="22"/>
  <c r="P167" i="22"/>
  <c r="T190" i="22"/>
  <c r="T178" i="22"/>
  <c r="T166" i="22"/>
  <c r="S189" i="22"/>
  <c r="S177" i="22"/>
  <c r="O189" i="22"/>
  <c r="O177" i="22"/>
  <c r="S188" i="22"/>
  <c r="S176" i="22"/>
  <c r="O188" i="22"/>
  <c r="O176" i="22"/>
  <c r="S187" i="22"/>
  <c r="S175" i="22"/>
  <c r="O187" i="22"/>
  <c r="O175" i="22"/>
  <c r="S186" i="22"/>
  <c r="S174" i="22"/>
  <c r="O186" i="22"/>
  <c r="O174" i="22"/>
  <c r="S185" i="22"/>
  <c r="S173" i="22"/>
  <c r="O185" i="22"/>
  <c r="O173" i="22"/>
  <c r="S184" i="22"/>
  <c r="S172" i="22"/>
  <c r="O184" i="22"/>
  <c r="O172" i="22"/>
  <c r="S183" i="22"/>
  <c r="S171" i="22"/>
  <c r="O183" i="22"/>
  <c r="O171" i="22"/>
  <c r="S182" i="22"/>
  <c r="S170" i="22"/>
  <c r="O182" i="22"/>
  <c r="O170" i="22"/>
  <c r="S181" i="22"/>
  <c r="S169" i="22"/>
  <c r="O181" i="22"/>
  <c r="O169" i="22"/>
  <c r="S180" i="22"/>
  <c r="S168" i="22"/>
  <c r="O180" i="22"/>
  <c r="O168" i="22"/>
  <c r="S179" i="22"/>
  <c r="S167" i="22"/>
  <c r="O179" i="22"/>
  <c r="O167" i="22"/>
  <c r="S190" i="22"/>
  <c r="S178" i="22"/>
  <c r="S166" i="22"/>
  <c r="O190" i="22"/>
  <c r="O178" i="22"/>
  <c r="O166" i="22"/>
  <c r="P189" i="22"/>
  <c r="P177" i="22"/>
  <c r="T187" i="22"/>
  <c r="T175" i="22"/>
  <c r="P186" i="22"/>
  <c r="P174" i="22"/>
  <c r="T184" i="22"/>
  <c r="T172" i="22"/>
  <c r="P183" i="22"/>
  <c r="P171" i="22"/>
  <c r="P181" i="22"/>
  <c r="P169" i="22"/>
  <c r="R177" i="22"/>
  <c r="R189" i="22"/>
  <c r="R188" i="22"/>
  <c r="R176" i="22"/>
  <c r="N176" i="22"/>
  <c r="N188" i="22"/>
  <c r="R187" i="22"/>
  <c r="R175" i="22"/>
  <c r="N175" i="22"/>
  <c r="N187" i="22"/>
  <c r="R186" i="22"/>
  <c r="R174" i="22"/>
  <c r="N186" i="22"/>
  <c r="N174" i="22"/>
  <c r="R185" i="22"/>
  <c r="R173" i="22"/>
  <c r="N173" i="22"/>
  <c r="N185" i="22"/>
  <c r="R184" i="22"/>
  <c r="R172" i="22"/>
  <c r="N172" i="22"/>
  <c r="N184" i="22"/>
  <c r="R183" i="22"/>
  <c r="R171" i="22"/>
  <c r="N183" i="22"/>
  <c r="N171" i="22"/>
  <c r="R170" i="22"/>
  <c r="R182" i="22"/>
  <c r="N182" i="22"/>
  <c r="N170" i="22"/>
  <c r="R169" i="22"/>
  <c r="R181" i="22"/>
  <c r="N181" i="22"/>
  <c r="N169" i="22"/>
  <c r="R180" i="22"/>
  <c r="R168" i="22"/>
  <c r="N168" i="22"/>
  <c r="N180" i="22"/>
  <c r="R179" i="22"/>
  <c r="R167" i="22"/>
  <c r="N179" i="22"/>
  <c r="N167" i="22"/>
  <c r="R190" i="22"/>
  <c r="R178" i="22"/>
  <c r="R166" i="22"/>
  <c r="N190" i="22"/>
  <c r="N178" i="22"/>
  <c r="N166" i="22"/>
  <c r="T188" i="22"/>
  <c r="T176" i="22"/>
  <c r="P187" i="22"/>
  <c r="P175" i="22"/>
  <c r="P185" i="22"/>
  <c r="P173" i="22"/>
  <c r="T183" i="22"/>
  <c r="T171" i="22"/>
  <c r="P182" i="22"/>
  <c r="P170" i="22"/>
  <c r="T180" i="22"/>
  <c r="T168" i="22"/>
  <c r="N189" i="22"/>
  <c r="N177" i="22"/>
  <c r="Q189" i="22"/>
  <c r="Q177" i="22"/>
  <c r="M189" i="22"/>
  <c r="M177" i="22"/>
  <c r="Q188" i="22"/>
  <c r="Q176" i="22"/>
  <c r="M188" i="22"/>
  <c r="M176" i="22"/>
  <c r="Q187" i="22"/>
  <c r="Q175" i="22"/>
  <c r="M187" i="22"/>
  <c r="M175" i="22"/>
  <c r="Q186" i="22"/>
  <c r="Q174" i="22"/>
  <c r="M186" i="22"/>
  <c r="M174" i="22"/>
  <c r="Q185" i="22"/>
  <c r="Q173" i="22"/>
  <c r="M185" i="22"/>
  <c r="M173" i="22"/>
  <c r="Q184" i="22"/>
  <c r="Q172" i="22"/>
  <c r="M184" i="22"/>
  <c r="M172" i="22"/>
  <c r="Q183" i="22"/>
  <c r="Q171" i="22"/>
  <c r="M183" i="22"/>
  <c r="M171" i="22"/>
  <c r="Q182" i="22"/>
  <c r="Q170" i="22"/>
  <c r="M182" i="22"/>
  <c r="M170" i="22"/>
  <c r="Q181" i="22"/>
  <c r="Q169" i="22"/>
  <c r="M181" i="22"/>
  <c r="M169" i="22"/>
  <c r="Q180" i="22"/>
  <c r="Q168" i="22"/>
  <c r="M180" i="22"/>
  <c r="M168" i="22"/>
  <c r="Q179" i="22"/>
  <c r="Q167" i="22"/>
  <c r="M179" i="22"/>
  <c r="M167" i="22"/>
  <c r="Q190" i="22"/>
  <c r="Q178" i="22"/>
  <c r="Q166" i="22"/>
  <c r="M190" i="22"/>
  <c r="M178" i="22"/>
  <c r="M166" i="22"/>
  <c r="K705" i="22" l="1"/>
  <c r="J705" i="22"/>
  <c r="I705" i="22"/>
  <c r="K704" i="22"/>
  <c r="J704" i="22"/>
  <c r="I704" i="22"/>
  <c r="K703" i="22"/>
  <c r="J703" i="22"/>
  <c r="I703" i="22"/>
  <c r="K702" i="22"/>
  <c r="J702" i="22"/>
  <c r="I702" i="22"/>
  <c r="K701" i="22"/>
  <c r="J701" i="22"/>
  <c r="I701" i="22"/>
  <c r="K700" i="22"/>
  <c r="J700" i="22"/>
  <c r="I700" i="22"/>
  <c r="K699" i="22"/>
  <c r="J699" i="22"/>
  <c r="I699" i="22"/>
  <c r="K698" i="22"/>
  <c r="J698" i="22"/>
  <c r="I698" i="22"/>
  <c r="K697" i="22"/>
  <c r="J697" i="22"/>
  <c r="I697" i="22"/>
  <c r="K696" i="22"/>
  <c r="J696" i="22"/>
  <c r="I696" i="22"/>
  <c r="K695" i="22"/>
  <c r="J695" i="22"/>
  <c r="I695" i="22"/>
  <c r="K694" i="22"/>
  <c r="J694" i="22"/>
  <c r="I694" i="22"/>
  <c r="M32" i="2"/>
  <c r="L20" i="2"/>
  <c r="B250" i="22" l="1"/>
  <c r="AG574" i="22" l="1"/>
  <c r="AG575" i="22"/>
  <c r="AG576" i="22"/>
  <c r="AG577" i="22"/>
  <c r="AG578" i="22"/>
  <c r="AG579" i="22"/>
  <c r="AG580" i="22"/>
  <c r="AG581" i="22"/>
  <c r="AG582" i="22"/>
  <c r="AG583" i="22"/>
  <c r="AG584" i="22"/>
  <c r="AG585" i="22"/>
  <c r="AG598" i="22"/>
  <c r="AG599" i="22"/>
  <c r="AG600" i="22"/>
  <c r="AG601" i="22"/>
  <c r="AG602" i="22"/>
  <c r="AG603" i="22"/>
  <c r="AG604" i="22"/>
  <c r="AG605" i="22"/>
  <c r="AG606" i="22"/>
  <c r="AG607" i="22"/>
  <c r="AG608" i="22"/>
  <c r="AG609" i="22"/>
  <c r="AG478" i="22"/>
  <c r="AG479" i="22"/>
  <c r="AG480" i="22"/>
  <c r="AG481" i="22"/>
  <c r="AG482" i="22"/>
  <c r="AG483" i="22"/>
  <c r="AG484" i="22"/>
  <c r="AG485" i="22"/>
  <c r="AG486" i="22"/>
  <c r="AG487" i="22"/>
  <c r="AG488" i="22"/>
  <c r="AG489" i="22"/>
  <c r="AG490" i="22"/>
  <c r="AG491" i="22"/>
  <c r="AG492" i="22"/>
  <c r="AG493" i="22"/>
  <c r="AG494" i="22"/>
  <c r="AG495" i="22"/>
  <c r="AG496" i="22"/>
  <c r="AG497" i="22"/>
  <c r="AG498" i="22"/>
  <c r="AG499" i="22"/>
  <c r="AG500" i="22"/>
  <c r="AG501" i="22"/>
  <c r="AG502" i="22"/>
  <c r="AG503" i="22"/>
  <c r="AG504" i="22"/>
  <c r="AG505" i="22"/>
  <c r="AG506" i="22"/>
  <c r="AG507" i="22"/>
  <c r="AG508" i="22"/>
  <c r="AG509" i="22"/>
  <c r="AG510" i="22"/>
  <c r="AG511" i="22"/>
  <c r="AG512" i="22"/>
  <c r="AG513" i="22"/>
  <c r="AG514" i="22"/>
  <c r="AG515" i="22"/>
  <c r="AG516" i="22"/>
  <c r="AG517" i="22"/>
  <c r="AG518" i="22"/>
  <c r="AG519" i="22"/>
  <c r="AG520" i="22"/>
  <c r="AG521" i="22"/>
  <c r="AG522" i="22"/>
  <c r="AG523" i="22"/>
  <c r="AG524" i="22"/>
  <c r="AG525" i="22"/>
  <c r="AF11" i="22"/>
  <c r="AG11" i="22"/>
  <c r="AF12" i="22"/>
  <c r="AG12" i="22"/>
  <c r="AF13" i="22"/>
  <c r="AG13" i="22"/>
  <c r="AF14" i="22"/>
  <c r="AG14" i="22"/>
  <c r="AF15" i="22"/>
  <c r="AG15" i="22"/>
  <c r="AF16" i="22"/>
  <c r="AG16" i="22"/>
  <c r="AF17" i="22"/>
  <c r="AG17" i="22"/>
  <c r="AF18" i="22"/>
  <c r="AG18" i="22"/>
  <c r="AF19" i="22"/>
  <c r="AG19" i="22"/>
  <c r="AF20" i="22"/>
  <c r="AG20" i="22"/>
  <c r="AF21" i="22"/>
  <c r="AG21" i="22"/>
  <c r="AG22" i="22"/>
  <c r="AG23" i="22"/>
  <c r="AG24" i="22"/>
  <c r="AG25" i="22"/>
  <c r="AG26" i="22"/>
  <c r="AG27" i="22"/>
  <c r="AG28" i="22"/>
  <c r="AG29" i="22"/>
  <c r="AG30" i="22"/>
  <c r="AG31" i="22"/>
  <c r="AG32" i="22"/>
  <c r="AG33" i="22"/>
  <c r="AF34" i="22"/>
  <c r="AG34" i="22"/>
  <c r="AF35" i="22"/>
  <c r="AG35" i="22"/>
  <c r="AF36" i="22"/>
  <c r="AG36" i="22"/>
  <c r="AF37" i="22"/>
  <c r="AG37" i="22"/>
  <c r="AF38" i="22"/>
  <c r="AG38" i="22"/>
  <c r="AF39" i="22"/>
  <c r="AG39" i="22"/>
  <c r="AF40" i="22"/>
  <c r="AG40" i="22"/>
  <c r="AF41" i="22"/>
  <c r="AG41" i="22"/>
  <c r="AF42" i="22"/>
  <c r="AG42" i="22"/>
  <c r="AF43" i="22"/>
  <c r="AG43" i="22"/>
  <c r="AF44" i="22"/>
  <c r="AG44" i="22"/>
  <c r="AF45" i="22"/>
  <c r="AG45" i="22"/>
  <c r="AG46" i="22"/>
  <c r="AG47" i="22"/>
  <c r="AG48" i="22"/>
  <c r="AG49" i="22"/>
  <c r="AG50" i="22"/>
  <c r="AG51" i="22"/>
  <c r="AG52" i="22"/>
  <c r="AG53" i="22"/>
  <c r="AG54" i="22"/>
  <c r="AG55" i="22"/>
  <c r="AG56" i="22"/>
  <c r="AG57" i="22"/>
  <c r="AF58" i="22"/>
  <c r="AG58" i="22"/>
  <c r="AF59" i="22"/>
  <c r="AG59" i="22"/>
  <c r="AF60" i="22"/>
  <c r="AG60" i="22"/>
  <c r="AF61" i="22"/>
  <c r="AG61" i="22"/>
  <c r="AF62" i="22"/>
  <c r="AG62" i="22"/>
  <c r="AF63" i="22"/>
  <c r="AG63" i="22"/>
  <c r="AF64" i="22"/>
  <c r="AG64" i="22"/>
  <c r="AF65" i="22"/>
  <c r="AG65" i="22"/>
  <c r="AF66" i="22"/>
  <c r="AG66" i="22"/>
  <c r="AF67" i="22"/>
  <c r="AG67" i="22"/>
  <c r="AF68" i="22"/>
  <c r="AG68" i="22"/>
  <c r="AF69" i="22"/>
  <c r="AG69" i="22"/>
  <c r="AF82" i="22"/>
  <c r="AG82" i="22"/>
  <c r="AF83" i="22"/>
  <c r="AG83" i="22"/>
  <c r="AF84" i="22"/>
  <c r="AG84" i="22"/>
  <c r="AF85" i="22"/>
  <c r="AG85" i="22"/>
  <c r="AF86" i="22"/>
  <c r="AG86" i="22"/>
  <c r="AF87" i="22"/>
  <c r="AG87" i="22"/>
  <c r="AF88" i="22"/>
  <c r="AG88" i="22"/>
  <c r="AF89" i="22"/>
  <c r="AG89" i="22"/>
  <c r="AF90" i="22"/>
  <c r="AG90" i="22"/>
  <c r="AF91" i="22"/>
  <c r="AG91" i="22"/>
  <c r="AF92" i="22"/>
  <c r="AG92" i="22"/>
  <c r="AF93" i="22"/>
  <c r="AG93" i="22"/>
  <c r="AG94" i="22"/>
  <c r="AG95" i="22"/>
  <c r="AG96" i="22"/>
  <c r="AG97" i="22"/>
  <c r="AG98" i="22"/>
  <c r="AG99" i="22"/>
  <c r="AG100" i="22"/>
  <c r="AG101" i="22"/>
  <c r="AG102" i="22"/>
  <c r="AG103" i="22"/>
  <c r="AG104" i="22"/>
  <c r="AG105" i="22"/>
  <c r="AF118" i="22"/>
  <c r="AG118" i="22"/>
  <c r="AF119" i="22"/>
  <c r="AG119" i="22"/>
  <c r="AF120" i="22"/>
  <c r="AG120" i="22"/>
  <c r="AF121" i="22"/>
  <c r="AG121" i="22"/>
  <c r="AF122" i="22"/>
  <c r="AG122" i="22"/>
  <c r="AF123" i="22"/>
  <c r="AG123" i="22"/>
  <c r="AF124" i="22"/>
  <c r="AG124" i="22"/>
  <c r="AF125" i="22"/>
  <c r="AG125" i="22"/>
  <c r="AF126" i="22"/>
  <c r="AG126" i="22"/>
  <c r="AF127" i="22"/>
  <c r="AG127" i="22"/>
  <c r="AF128" i="22"/>
  <c r="AG128" i="22"/>
  <c r="AF129" i="22"/>
  <c r="AG129" i="22"/>
  <c r="AG130" i="22"/>
  <c r="AG131" i="22"/>
  <c r="AG132" i="22"/>
  <c r="AG133" i="22"/>
  <c r="AG134" i="22"/>
  <c r="AG135" i="22"/>
  <c r="AG136" i="22"/>
  <c r="AG137" i="22"/>
  <c r="AG138" i="22"/>
  <c r="AG139" i="22"/>
  <c r="AG140" i="22"/>
  <c r="AG141" i="22"/>
  <c r="AG142" i="22"/>
  <c r="AG143" i="22"/>
  <c r="AG144" i="22"/>
  <c r="AG145" i="22"/>
  <c r="AG146" i="22"/>
  <c r="AG147" i="22"/>
  <c r="AG148" i="22"/>
  <c r="AG149" i="22"/>
  <c r="AG150" i="22"/>
  <c r="AG151" i="22"/>
  <c r="AG152" i="22"/>
  <c r="AG153" i="22"/>
  <c r="AF154" i="22"/>
  <c r="AG154" i="22"/>
  <c r="AF155" i="22"/>
  <c r="AG155" i="22"/>
  <c r="AF156" i="22"/>
  <c r="AG156" i="22"/>
  <c r="AF157" i="22"/>
  <c r="AG157" i="22"/>
  <c r="AF158" i="22"/>
  <c r="AG158" i="22"/>
  <c r="AF159" i="22"/>
  <c r="AG159" i="22"/>
  <c r="AF160" i="22"/>
  <c r="AG160" i="22"/>
  <c r="AF161" i="22"/>
  <c r="AG161" i="22"/>
  <c r="AF162" i="22"/>
  <c r="AG162" i="22"/>
  <c r="AF163" i="22"/>
  <c r="AG163" i="22"/>
  <c r="AF164" i="22"/>
  <c r="AG164" i="22"/>
  <c r="AF165" i="22"/>
  <c r="AG165" i="22"/>
  <c r="AG166" i="22"/>
  <c r="AG167" i="22"/>
  <c r="AG168" i="22"/>
  <c r="AG169" i="22"/>
  <c r="AG170" i="22"/>
  <c r="AG171" i="22"/>
  <c r="AG172" i="22"/>
  <c r="AG173" i="22"/>
  <c r="AG174" i="22"/>
  <c r="AG175" i="22"/>
  <c r="AG176" i="22"/>
  <c r="AG177" i="22"/>
  <c r="AG178" i="22"/>
  <c r="AG179" i="22"/>
  <c r="AG180" i="22"/>
  <c r="AG181" i="22"/>
  <c r="AG182" i="22"/>
  <c r="AG183" i="22"/>
  <c r="AG184" i="22"/>
  <c r="AG185" i="22"/>
  <c r="AG186" i="22"/>
  <c r="AG187" i="22"/>
  <c r="AG188" i="22"/>
  <c r="AG189" i="22"/>
  <c r="AG190" i="22"/>
  <c r="AG191" i="22"/>
  <c r="AG192" i="22"/>
  <c r="AG193" i="22"/>
  <c r="AG194" i="22"/>
  <c r="AG195" i="22"/>
  <c r="AG196" i="22"/>
  <c r="AG197" i="22"/>
  <c r="AG198" i="22"/>
  <c r="AG199" i="22"/>
  <c r="AG200" i="22"/>
  <c r="AG201" i="22"/>
  <c r="AF202" i="22"/>
  <c r="AG202" i="22"/>
  <c r="AF203" i="22"/>
  <c r="AG203" i="22"/>
  <c r="AF204" i="22"/>
  <c r="AG204" i="22"/>
  <c r="AF205" i="22"/>
  <c r="AG205" i="22"/>
  <c r="AF206" i="22"/>
  <c r="AG206" i="22"/>
  <c r="AF207" i="22"/>
  <c r="AG207" i="22"/>
  <c r="AF208" i="22"/>
  <c r="AG208" i="22"/>
  <c r="AF209" i="22"/>
  <c r="AG209" i="22"/>
  <c r="AF210" i="22"/>
  <c r="AG210" i="22"/>
  <c r="AF211" i="22"/>
  <c r="AG211" i="22"/>
  <c r="AF212" i="22"/>
  <c r="AG212" i="22"/>
  <c r="AF213" i="22"/>
  <c r="AG213" i="22"/>
  <c r="AG226" i="22"/>
  <c r="AG227" i="22"/>
  <c r="AG228" i="22"/>
  <c r="AG229" i="22"/>
  <c r="AG230" i="22"/>
  <c r="AG231" i="22"/>
  <c r="AG232" i="22"/>
  <c r="AG233" i="22"/>
  <c r="AG234" i="22"/>
  <c r="AG235" i="22"/>
  <c r="AG236" i="22"/>
  <c r="AG237" i="22"/>
  <c r="AF238" i="22"/>
  <c r="AG238" i="22"/>
  <c r="AF239" i="22"/>
  <c r="AG239" i="22"/>
  <c r="AF240" i="22"/>
  <c r="AG240" i="22"/>
  <c r="AF241" i="22"/>
  <c r="AG241" i="22"/>
  <c r="AF242" i="22"/>
  <c r="AG242" i="22"/>
  <c r="AF243" i="22"/>
  <c r="AG243" i="22"/>
  <c r="AF244" i="22"/>
  <c r="AG244" i="22"/>
  <c r="AF245" i="22"/>
  <c r="AG245" i="22"/>
  <c r="AF246" i="22"/>
  <c r="AG246" i="22"/>
  <c r="AF247" i="22"/>
  <c r="AG247" i="22"/>
  <c r="AF248" i="22"/>
  <c r="AG248" i="22"/>
  <c r="AF249" i="22"/>
  <c r="AG249" i="22"/>
  <c r="AG250" i="22"/>
  <c r="AG251" i="22"/>
  <c r="AG252" i="22"/>
  <c r="AG253" i="22"/>
  <c r="AG254" i="22"/>
  <c r="AG255" i="22"/>
  <c r="AG256" i="22"/>
  <c r="AG257" i="22"/>
  <c r="AG258" i="22"/>
  <c r="AG259" i="22"/>
  <c r="AG260" i="22"/>
  <c r="AG261" i="22"/>
  <c r="AF262" i="22"/>
  <c r="AG262" i="22"/>
  <c r="AF263" i="22"/>
  <c r="AG263" i="22"/>
  <c r="AF264" i="22"/>
  <c r="AG264" i="22"/>
  <c r="AF265" i="22"/>
  <c r="AG265" i="22"/>
  <c r="AF266" i="22"/>
  <c r="AG266" i="22"/>
  <c r="AF267" i="22"/>
  <c r="AG267" i="22"/>
  <c r="AF268" i="22"/>
  <c r="AG268" i="22"/>
  <c r="AF269" i="22"/>
  <c r="AG269" i="22"/>
  <c r="AF270" i="22"/>
  <c r="AG270" i="22"/>
  <c r="AF271" i="22"/>
  <c r="AG271" i="22"/>
  <c r="AF272" i="22"/>
  <c r="AG272" i="22"/>
  <c r="AF273" i="22"/>
  <c r="AG273" i="22"/>
  <c r="AG298" i="22"/>
  <c r="AG299" i="22"/>
  <c r="AG300" i="22"/>
  <c r="AG301" i="22"/>
  <c r="AG302" i="22"/>
  <c r="AG303" i="22"/>
  <c r="AG304" i="22"/>
  <c r="AG305" i="22"/>
  <c r="AG306" i="22"/>
  <c r="AG307" i="22"/>
  <c r="AG308" i="22"/>
  <c r="AG309" i="22"/>
  <c r="AF334" i="22"/>
  <c r="AG334" i="22"/>
  <c r="AF335" i="22"/>
  <c r="AG335" i="22"/>
  <c r="AF336" i="22"/>
  <c r="AG336" i="22"/>
  <c r="AF337" i="22"/>
  <c r="AG337" i="22"/>
  <c r="AF338" i="22"/>
  <c r="AG338" i="22"/>
  <c r="AF339" i="22"/>
  <c r="AG339" i="22"/>
  <c r="AF340" i="22"/>
  <c r="AG340" i="22"/>
  <c r="AF341" i="22"/>
  <c r="AG341" i="22"/>
  <c r="AF342" i="22"/>
  <c r="AG342" i="22"/>
  <c r="AF343" i="22"/>
  <c r="AG343" i="22"/>
  <c r="AF344" i="22"/>
  <c r="AG344" i="22"/>
  <c r="AF345" i="22"/>
  <c r="AG345" i="22"/>
  <c r="AG346" i="22"/>
  <c r="AG347" i="22"/>
  <c r="AG348" i="22"/>
  <c r="AG349" i="22"/>
  <c r="AG350" i="22"/>
  <c r="AG351" i="22"/>
  <c r="AG352" i="22"/>
  <c r="AG353" i="22"/>
  <c r="AG354" i="22"/>
  <c r="AG355" i="22"/>
  <c r="AG356" i="22"/>
  <c r="AG357" i="22"/>
  <c r="AF370" i="22"/>
  <c r="AG370" i="22"/>
  <c r="AF371" i="22"/>
  <c r="AG371" i="22"/>
  <c r="AF372" i="22"/>
  <c r="AG372" i="22"/>
  <c r="AF373" i="22"/>
  <c r="AG373" i="22"/>
  <c r="AF374" i="22"/>
  <c r="AG374" i="22"/>
  <c r="AF375" i="22"/>
  <c r="AG375" i="22"/>
  <c r="AF376" i="22"/>
  <c r="AG376" i="22"/>
  <c r="AF377" i="22"/>
  <c r="AG377" i="22"/>
  <c r="AF378" i="22"/>
  <c r="AG378" i="22"/>
  <c r="AF379" i="22"/>
  <c r="AG379" i="22"/>
  <c r="AF380" i="22"/>
  <c r="AG380" i="22"/>
  <c r="AF381" i="22"/>
  <c r="AG381" i="22"/>
  <c r="AG358" i="22"/>
  <c r="AG359" i="22"/>
  <c r="AG360" i="22"/>
  <c r="AG361" i="22"/>
  <c r="AG362" i="22"/>
  <c r="AG363" i="22"/>
  <c r="AG364" i="22"/>
  <c r="AG365" i="22"/>
  <c r="AG366" i="22"/>
  <c r="AG367" i="22"/>
  <c r="AG368" i="22"/>
  <c r="AG369" i="22"/>
  <c r="AG382" i="22"/>
  <c r="AG383" i="22"/>
  <c r="AG384" i="22"/>
  <c r="AG385" i="22"/>
  <c r="AG386" i="22"/>
  <c r="AG387" i="22"/>
  <c r="AG388" i="22"/>
  <c r="AG389" i="22"/>
  <c r="AG390" i="22"/>
  <c r="AG391" i="22"/>
  <c r="AG392" i="22"/>
  <c r="AG393" i="22"/>
  <c r="AF394" i="22"/>
  <c r="AG394" i="22"/>
  <c r="AF395" i="22"/>
  <c r="AG395" i="22"/>
  <c r="AF396" i="22"/>
  <c r="AG396" i="22"/>
  <c r="AF397" i="22"/>
  <c r="AG397" i="22"/>
  <c r="AF398" i="22"/>
  <c r="AG398" i="22"/>
  <c r="AF399" i="22"/>
  <c r="AG399" i="22"/>
  <c r="AF400" i="22"/>
  <c r="AG400" i="22"/>
  <c r="AF401" i="22"/>
  <c r="AG401" i="22"/>
  <c r="AF402" i="22"/>
  <c r="AG402" i="22"/>
  <c r="AF403" i="22"/>
  <c r="AG403" i="22"/>
  <c r="AF404" i="22"/>
  <c r="AG404" i="22"/>
  <c r="AF405" i="22"/>
  <c r="AG405" i="22"/>
  <c r="AF406" i="22"/>
  <c r="AG406" i="22"/>
  <c r="AF407" i="22"/>
  <c r="AG407" i="22"/>
  <c r="AF408" i="22"/>
  <c r="AG408" i="22"/>
  <c r="AF409" i="22"/>
  <c r="AG409" i="22"/>
  <c r="AF410" i="22"/>
  <c r="AG410" i="22"/>
  <c r="AF411" i="22"/>
  <c r="AG411" i="22"/>
  <c r="AF412" i="22"/>
  <c r="AG412" i="22"/>
  <c r="AF413" i="22"/>
  <c r="AG413" i="22"/>
  <c r="AF414" i="22"/>
  <c r="AG414" i="22"/>
  <c r="AF415" i="22"/>
  <c r="AG415" i="22"/>
  <c r="AF416" i="22"/>
  <c r="AG416" i="22"/>
  <c r="AF417" i="22"/>
  <c r="AG417" i="22"/>
  <c r="AG418" i="22"/>
  <c r="AG419" i="22"/>
  <c r="AG420" i="22"/>
  <c r="AG421" i="22"/>
  <c r="AG422" i="22"/>
  <c r="AG423" i="22"/>
  <c r="AG424" i="22"/>
  <c r="AG425" i="22"/>
  <c r="AG426" i="22"/>
  <c r="AG427" i="22"/>
  <c r="AG428" i="22"/>
  <c r="AG429" i="22"/>
  <c r="AF430" i="22"/>
  <c r="AG430" i="22"/>
  <c r="AF431" i="22"/>
  <c r="AG431" i="22"/>
  <c r="AF432" i="22"/>
  <c r="AG432" i="22"/>
  <c r="AF433" i="22"/>
  <c r="AG433" i="22"/>
  <c r="AF434" i="22"/>
  <c r="AG434" i="22"/>
  <c r="AF435" i="22"/>
  <c r="AG435" i="22"/>
  <c r="AF436" i="22"/>
  <c r="AG436" i="22"/>
  <c r="AF437" i="22"/>
  <c r="AG437" i="22"/>
  <c r="AF438" i="22"/>
  <c r="AG438" i="22"/>
  <c r="AF439" i="22"/>
  <c r="AG439" i="22"/>
  <c r="AF440" i="22"/>
  <c r="AG440" i="22"/>
  <c r="AF441" i="22"/>
  <c r="AG441" i="22"/>
  <c r="AG442" i="22"/>
  <c r="AG443" i="22"/>
  <c r="AG444" i="22"/>
  <c r="AG445" i="22"/>
  <c r="AG446" i="22"/>
  <c r="AG447" i="22"/>
  <c r="AG448" i="22"/>
  <c r="AG449" i="22"/>
  <c r="AG450" i="22"/>
  <c r="AG451" i="22"/>
  <c r="AG452" i="22"/>
  <c r="AG453" i="22"/>
  <c r="AG454" i="22"/>
  <c r="AG455" i="22"/>
  <c r="AG456" i="22"/>
  <c r="AG457" i="22"/>
  <c r="AG458" i="22"/>
  <c r="AG459" i="22"/>
  <c r="AG460" i="22"/>
  <c r="AG461" i="22"/>
  <c r="AG462" i="22"/>
  <c r="AG463" i="22"/>
  <c r="AG464" i="22"/>
  <c r="AG465" i="22"/>
  <c r="AG466" i="22"/>
  <c r="AG467" i="22"/>
  <c r="AG468" i="22"/>
  <c r="AG469" i="22"/>
  <c r="AG470" i="22"/>
  <c r="AG471" i="22"/>
  <c r="AG472" i="22"/>
  <c r="AG473" i="22"/>
  <c r="AG474" i="22"/>
  <c r="AG475" i="22"/>
  <c r="AG476" i="22"/>
  <c r="AG477" i="22"/>
  <c r="AG10" i="22"/>
  <c r="AF10" i="22"/>
  <c r="A862" i="22" l="1"/>
  <c r="B862" i="22"/>
  <c r="AO850" i="22"/>
  <c r="AO851" i="22"/>
  <c r="AO852" i="22"/>
  <c r="AO853" i="22"/>
  <c r="AO854" i="22"/>
  <c r="AO855" i="22"/>
  <c r="AO856" i="22"/>
  <c r="AO857" i="22"/>
  <c r="AO858" i="22"/>
  <c r="AO859" i="22"/>
  <c r="AO860" i="22"/>
  <c r="AO861" i="22"/>
  <c r="X850" i="22"/>
  <c r="Y850" i="22"/>
  <c r="Z850" i="22"/>
  <c r="AA850" i="22"/>
  <c r="AB850" i="22"/>
  <c r="X851" i="22"/>
  <c r="Y851" i="22"/>
  <c r="Z851" i="22"/>
  <c r="AA851" i="22"/>
  <c r="AB851" i="22"/>
  <c r="X852" i="22"/>
  <c r="Y852" i="22"/>
  <c r="Z852" i="22"/>
  <c r="AA852" i="22"/>
  <c r="AB852" i="22"/>
  <c r="X853" i="22"/>
  <c r="Y853" i="22"/>
  <c r="Z853" i="22"/>
  <c r="AA853" i="22"/>
  <c r="AB853" i="22"/>
  <c r="X854" i="22"/>
  <c r="Y854" i="22"/>
  <c r="Z854" i="22"/>
  <c r="AA854" i="22"/>
  <c r="AB854" i="22"/>
  <c r="X855" i="22"/>
  <c r="Y855" i="22"/>
  <c r="Z855" i="22"/>
  <c r="AA855" i="22"/>
  <c r="AB855" i="22"/>
  <c r="X856" i="22"/>
  <c r="Y856" i="22"/>
  <c r="Z856" i="22"/>
  <c r="AA856" i="22"/>
  <c r="AB856" i="22"/>
  <c r="X857" i="22"/>
  <c r="Y857" i="22"/>
  <c r="Z857" i="22"/>
  <c r="AA857" i="22"/>
  <c r="AB857" i="22"/>
  <c r="X858" i="22"/>
  <c r="Y858" i="22"/>
  <c r="Z858" i="22"/>
  <c r="AA858" i="22"/>
  <c r="AB858" i="22"/>
  <c r="X859" i="22"/>
  <c r="Y859" i="22"/>
  <c r="Z859" i="22"/>
  <c r="AA859" i="22"/>
  <c r="AB859" i="22"/>
  <c r="X860" i="22"/>
  <c r="Y860" i="22"/>
  <c r="Z860" i="22"/>
  <c r="AA860" i="22"/>
  <c r="AB860" i="22"/>
  <c r="X861" i="22"/>
  <c r="Y861" i="22"/>
  <c r="Z861" i="22"/>
  <c r="AA861" i="22"/>
  <c r="AB861" i="22"/>
  <c r="W851" i="22"/>
  <c r="W852" i="22"/>
  <c r="W853" i="22"/>
  <c r="W854" i="22"/>
  <c r="W855" i="22"/>
  <c r="W856" i="22"/>
  <c r="W857" i="22"/>
  <c r="W858" i="22"/>
  <c r="W859" i="22"/>
  <c r="W860" i="22"/>
  <c r="W861" i="22"/>
  <c r="J850" i="22"/>
  <c r="K850" i="22"/>
  <c r="J851" i="22"/>
  <c r="K851" i="22"/>
  <c r="J852" i="22"/>
  <c r="K852" i="22"/>
  <c r="J853" i="22"/>
  <c r="K853" i="22"/>
  <c r="J854" i="22"/>
  <c r="K854" i="22"/>
  <c r="J855" i="22"/>
  <c r="K855" i="22"/>
  <c r="J856" i="22"/>
  <c r="K856" i="22"/>
  <c r="J857" i="22"/>
  <c r="K857" i="22"/>
  <c r="J858" i="22"/>
  <c r="K858" i="22"/>
  <c r="J859" i="22"/>
  <c r="K859" i="22"/>
  <c r="J860" i="22"/>
  <c r="K860" i="22"/>
  <c r="J861" i="22"/>
  <c r="K861" i="22"/>
  <c r="I861" i="22"/>
  <c r="I851" i="22"/>
  <c r="I852" i="22"/>
  <c r="I853" i="22"/>
  <c r="I854" i="22"/>
  <c r="I855" i="22"/>
  <c r="I856" i="22"/>
  <c r="I857" i="22"/>
  <c r="I858" i="22"/>
  <c r="I859" i="22"/>
  <c r="I860" i="22"/>
  <c r="I850" i="22"/>
  <c r="W850" i="22"/>
  <c r="B850" i="22"/>
  <c r="A850" i="22"/>
  <c r="E3" i="1" l="1"/>
  <c r="C4" i="1" s="1"/>
  <c r="M40" i="2" l="1"/>
  <c r="L40" i="2"/>
  <c r="M37" i="2"/>
  <c r="M34" i="2"/>
  <c r="L37" i="2"/>
  <c r="L33" i="2"/>
  <c r="L34" i="2"/>
  <c r="C34" i="14" s="1"/>
  <c r="C37" i="14" l="1"/>
  <c r="C40" i="14"/>
  <c r="L73" i="2"/>
  <c r="L9" i="2"/>
  <c r="C9" i="14" s="1"/>
  <c r="L12" i="2"/>
  <c r="C12" i="14" s="1"/>
  <c r="L81" i="2" l="1"/>
  <c r="L29" i="2"/>
  <c r="L27" i="2"/>
  <c r="L16" i="2"/>
  <c r="L14" i="2"/>
  <c r="I479" i="22" l="1"/>
  <c r="J479" i="22"/>
  <c r="K479" i="22"/>
  <c r="I480" i="22"/>
  <c r="J480" i="22"/>
  <c r="K480" i="22"/>
  <c r="I481" i="22"/>
  <c r="J481" i="22"/>
  <c r="K481" i="22"/>
  <c r="I482" i="22"/>
  <c r="J482" i="22"/>
  <c r="K482" i="22"/>
  <c r="I483" i="22"/>
  <c r="J483" i="22"/>
  <c r="K483" i="22"/>
  <c r="I484" i="22"/>
  <c r="J484" i="22"/>
  <c r="K484" i="22"/>
  <c r="I485" i="22"/>
  <c r="J485" i="22"/>
  <c r="K485" i="22"/>
  <c r="I486" i="22"/>
  <c r="J486" i="22"/>
  <c r="K486" i="22"/>
  <c r="I487" i="22"/>
  <c r="J487" i="22"/>
  <c r="K487" i="22"/>
  <c r="I488" i="22"/>
  <c r="J488" i="22"/>
  <c r="K488" i="22"/>
  <c r="I489" i="22"/>
  <c r="J489" i="22"/>
  <c r="K489" i="22"/>
  <c r="K478" i="22"/>
  <c r="J478" i="22"/>
  <c r="I478" i="22"/>
  <c r="M35" i="2" l="1"/>
  <c r="L35" i="2"/>
  <c r="C35" i="14" s="1"/>
  <c r="L49" i="2"/>
  <c r="C49" i="14" s="1"/>
  <c r="M17" i="2"/>
  <c r="L17" i="2"/>
  <c r="C17" i="14" s="1"/>
  <c r="L19" i="2"/>
  <c r="L131" i="22" l="1"/>
  <c r="AF131" i="22" s="1"/>
  <c r="L132" i="22"/>
  <c r="AF132" i="22" s="1"/>
  <c r="L133" i="22"/>
  <c r="AF133" i="22" s="1"/>
  <c r="L134" i="22"/>
  <c r="AF134" i="22" s="1"/>
  <c r="L135" i="22"/>
  <c r="AF135" i="22" s="1"/>
  <c r="L136" i="22"/>
  <c r="AF136" i="22" s="1"/>
  <c r="L137" i="22"/>
  <c r="AF137" i="22" s="1"/>
  <c r="L138" i="22"/>
  <c r="AF138" i="22" s="1"/>
  <c r="L139" i="22"/>
  <c r="AF139" i="22" s="1"/>
  <c r="L140" i="22"/>
  <c r="AF140" i="22" s="1"/>
  <c r="L141" i="22"/>
  <c r="AF141" i="22" s="1"/>
  <c r="L130" i="22"/>
  <c r="AF130" i="22" s="1"/>
  <c r="K130" i="22"/>
  <c r="K131" i="22"/>
  <c r="K132" i="22"/>
  <c r="K133" i="22"/>
  <c r="K134" i="22"/>
  <c r="K135" i="22"/>
  <c r="K136" i="22"/>
  <c r="K137" i="22"/>
  <c r="K138" i="22"/>
  <c r="K139" i="22"/>
  <c r="K140" i="22"/>
  <c r="K141" i="22"/>
  <c r="J131" i="22"/>
  <c r="J132" i="22"/>
  <c r="J133" i="22"/>
  <c r="J134" i="22"/>
  <c r="J135" i="22"/>
  <c r="J136" i="22"/>
  <c r="J137" i="22"/>
  <c r="J138" i="22"/>
  <c r="J139" i="22"/>
  <c r="J140" i="22"/>
  <c r="J141" i="22"/>
  <c r="J130" i="22"/>
  <c r="I131" i="22"/>
  <c r="I132" i="22"/>
  <c r="I133" i="22"/>
  <c r="I134" i="22"/>
  <c r="I135" i="22"/>
  <c r="I136" i="22"/>
  <c r="I137" i="22"/>
  <c r="I138" i="22"/>
  <c r="I139" i="22"/>
  <c r="I140" i="22"/>
  <c r="I141" i="22"/>
  <c r="I130" i="22"/>
  <c r="L95" i="22"/>
  <c r="AF95" i="22" s="1"/>
  <c r="L96" i="22"/>
  <c r="AF96" i="22" s="1"/>
  <c r="L97" i="22"/>
  <c r="AF97" i="22" s="1"/>
  <c r="L98" i="22"/>
  <c r="AF98" i="22" s="1"/>
  <c r="L99" i="22"/>
  <c r="AF99" i="22" s="1"/>
  <c r="L100" i="22"/>
  <c r="AF100" i="22" s="1"/>
  <c r="L101" i="22"/>
  <c r="AF101" i="22" s="1"/>
  <c r="L102" i="22"/>
  <c r="AF102" i="22" s="1"/>
  <c r="L103" i="22"/>
  <c r="AF103" i="22" s="1"/>
  <c r="L104" i="22"/>
  <c r="AF104" i="22" s="1"/>
  <c r="L105" i="22"/>
  <c r="AF105" i="22" s="1"/>
  <c r="L94" i="22"/>
  <c r="AF94" i="22" s="1"/>
  <c r="J95" i="22"/>
  <c r="K95" i="22"/>
  <c r="J96" i="22"/>
  <c r="K96" i="22"/>
  <c r="J97" i="22"/>
  <c r="K97" i="22"/>
  <c r="J98" i="22"/>
  <c r="K98" i="22"/>
  <c r="J99" i="22"/>
  <c r="K99" i="22"/>
  <c r="J100" i="22"/>
  <c r="K100" i="22"/>
  <c r="J101" i="22"/>
  <c r="K101" i="22"/>
  <c r="J102" i="22"/>
  <c r="K102" i="22"/>
  <c r="J103" i="22"/>
  <c r="K103" i="22"/>
  <c r="J104" i="22"/>
  <c r="K104" i="22"/>
  <c r="J105" i="22"/>
  <c r="K105" i="22"/>
  <c r="K94" i="22"/>
  <c r="J94" i="22"/>
  <c r="I95" i="22"/>
  <c r="I96" i="22"/>
  <c r="I97" i="22"/>
  <c r="I98" i="22"/>
  <c r="I99" i="22"/>
  <c r="I100" i="22"/>
  <c r="I101" i="22"/>
  <c r="I102" i="22"/>
  <c r="I103" i="22"/>
  <c r="I104" i="22"/>
  <c r="I105" i="22"/>
  <c r="I94" i="22"/>
  <c r="AF299" i="22"/>
  <c r="AF300" i="22"/>
  <c r="AF301" i="22"/>
  <c r="AF302" i="22"/>
  <c r="AF303" i="22"/>
  <c r="AF304" i="22"/>
  <c r="AF305" i="22"/>
  <c r="AF306" i="22"/>
  <c r="AF307" i="22"/>
  <c r="AF308" i="22"/>
  <c r="AF309" i="22"/>
  <c r="L298" i="22"/>
  <c r="AF298" i="22" s="1"/>
  <c r="K299" i="22"/>
  <c r="K300" i="22"/>
  <c r="K301" i="22"/>
  <c r="K302" i="22"/>
  <c r="K303" i="22"/>
  <c r="K304" i="22"/>
  <c r="K305" i="22"/>
  <c r="K306" i="22"/>
  <c r="K307" i="22"/>
  <c r="K308" i="22"/>
  <c r="K309" i="22"/>
  <c r="K298" i="22"/>
  <c r="J299" i="22"/>
  <c r="J300" i="22"/>
  <c r="J301" i="22"/>
  <c r="J302" i="22"/>
  <c r="J303" i="22"/>
  <c r="J304" i="22"/>
  <c r="J305" i="22"/>
  <c r="J306" i="22"/>
  <c r="J307" i="22"/>
  <c r="J308" i="22"/>
  <c r="J309" i="22"/>
  <c r="J298" i="22"/>
  <c r="I299" i="22"/>
  <c r="I300" i="22"/>
  <c r="I301" i="22"/>
  <c r="I302" i="22"/>
  <c r="I303" i="22"/>
  <c r="I304" i="22"/>
  <c r="I305" i="22"/>
  <c r="I306" i="22"/>
  <c r="I307" i="22"/>
  <c r="I308" i="22"/>
  <c r="I309" i="22"/>
  <c r="I298" i="22"/>
  <c r="AG311" i="22"/>
  <c r="AG312" i="22"/>
  <c r="AG313" i="22"/>
  <c r="AG314" i="22"/>
  <c r="AG315" i="22"/>
  <c r="AG316" i="22"/>
  <c r="AG317" i="22"/>
  <c r="AG318" i="22"/>
  <c r="AG319" i="22"/>
  <c r="AG320" i="22"/>
  <c r="AG321" i="22"/>
  <c r="AG310" i="22"/>
  <c r="L311" i="22"/>
  <c r="AF311" i="22" s="1"/>
  <c r="L312" i="22"/>
  <c r="AF312" i="22" s="1"/>
  <c r="L313" i="22"/>
  <c r="AF313" i="22" s="1"/>
  <c r="L314" i="22"/>
  <c r="AF314" i="22" s="1"/>
  <c r="L315" i="22"/>
  <c r="AF315" i="22" s="1"/>
  <c r="L316" i="22"/>
  <c r="AF316" i="22" s="1"/>
  <c r="L317" i="22"/>
  <c r="AF317" i="22" s="1"/>
  <c r="L318" i="22"/>
  <c r="AF318" i="22" s="1"/>
  <c r="L319" i="22"/>
  <c r="AF319" i="22" s="1"/>
  <c r="L320" i="22"/>
  <c r="AF320" i="22" s="1"/>
  <c r="L321" i="22"/>
  <c r="AF321" i="22" s="1"/>
  <c r="L310" i="22"/>
  <c r="AF310" i="22" s="1"/>
  <c r="K311" i="22"/>
  <c r="K312" i="22"/>
  <c r="K313" i="22"/>
  <c r="K314" i="22"/>
  <c r="K315" i="22"/>
  <c r="K316" i="22"/>
  <c r="K317" i="22"/>
  <c r="K318" i="22"/>
  <c r="K319" i="22"/>
  <c r="K320" i="22"/>
  <c r="K321" i="22"/>
  <c r="K310" i="22"/>
  <c r="J311" i="22"/>
  <c r="J312" i="22"/>
  <c r="J313" i="22"/>
  <c r="J314" i="22"/>
  <c r="J315" i="22"/>
  <c r="J316" i="22"/>
  <c r="J317" i="22"/>
  <c r="J318" i="22"/>
  <c r="J319" i="22"/>
  <c r="J320" i="22"/>
  <c r="J321" i="22"/>
  <c r="J310" i="22"/>
  <c r="I311" i="22"/>
  <c r="I312" i="22"/>
  <c r="I313" i="22"/>
  <c r="I314" i="22"/>
  <c r="I315" i="22"/>
  <c r="I316" i="22"/>
  <c r="I317" i="22"/>
  <c r="I318" i="22"/>
  <c r="I319" i="22"/>
  <c r="I320" i="22"/>
  <c r="I321" i="22"/>
  <c r="I310" i="22"/>
  <c r="L347" i="22"/>
  <c r="AF347" i="22" s="1"/>
  <c r="L348" i="22"/>
  <c r="AF348" i="22" s="1"/>
  <c r="L349" i="22"/>
  <c r="AF349" i="22" s="1"/>
  <c r="L350" i="22"/>
  <c r="AF350" i="22" s="1"/>
  <c r="L351" i="22"/>
  <c r="AF351" i="22" s="1"/>
  <c r="L352" i="22"/>
  <c r="AF352" i="22" s="1"/>
  <c r="L353" i="22"/>
  <c r="AF353" i="22" s="1"/>
  <c r="L354" i="22"/>
  <c r="AF354" i="22" s="1"/>
  <c r="L355" i="22"/>
  <c r="AF355" i="22" s="1"/>
  <c r="L356" i="22"/>
  <c r="AF356" i="22" s="1"/>
  <c r="L357" i="22"/>
  <c r="AF357" i="22" s="1"/>
  <c r="L346" i="22"/>
  <c r="AF346" i="22" s="1"/>
  <c r="K347" i="22"/>
  <c r="K348" i="22"/>
  <c r="K349" i="22"/>
  <c r="K350" i="22"/>
  <c r="K351" i="22"/>
  <c r="K352" i="22"/>
  <c r="K353" i="22"/>
  <c r="K354" i="22"/>
  <c r="K355" i="22"/>
  <c r="K356" i="22"/>
  <c r="K357" i="22"/>
  <c r="K346" i="22"/>
  <c r="J347" i="22"/>
  <c r="J348" i="22"/>
  <c r="J349" i="22"/>
  <c r="J350" i="22"/>
  <c r="J351" i="22"/>
  <c r="J352" i="22"/>
  <c r="J353" i="22"/>
  <c r="J354" i="22"/>
  <c r="J355" i="22"/>
  <c r="J356" i="22"/>
  <c r="J357" i="22"/>
  <c r="J346" i="22"/>
  <c r="I347" i="22"/>
  <c r="I348" i="22"/>
  <c r="I349" i="22"/>
  <c r="I350" i="22"/>
  <c r="I351" i="22"/>
  <c r="I352" i="22"/>
  <c r="I353" i="22"/>
  <c r="I354" i="22"/>
  <c r="I355" i="22"/>
  <c r="I356" i="22"/>
  <c r="I357" i="22"/>
  <c r="I346" i="22"/>
  <c r="L383" i="22"/>
  <c r="AF383" i="22" s="1"/>
  <c r="L384" i="22"/>
  <c r="AF384" i="22" s="1"/>
  <c r="L385" i="22"/>
  <c r="AF385" i="22" s="1"/>
  <c r="L386" i="22"/>
  <c r="AF386" i="22" s="1"/>
  <c r="L387" i="22"/>
  <c r="AF387" i="22" s="1"/>
  <c r="L388" i="22"/>
  <c r="AF388" i="22" s="1"/>
  <c r="L389" i="22"/>
  <c r="AF389" i="22" s="1"/>
  <c r="L390" i="22"/>
  <c r="AF390" i="22" s="1"/>
  <c r="L391" i="22"/>
  <c r="AF391" i="22" s="1"/>
  <c r="L392" i="22"/>
  <c r="AF392" i="22" s="1"/>
  <c r="L393" i="22"/>
  <c r="AF393" i="22" s="1"/>
  <c r="L382" i="22"/>
  <c r="AF382" i="22" s="1"/>
  <c r="K383" i="22"/>
  <c r="K384" i="22"/>
  <c r="K385" i="22"/>
  <c r="K386" i="22"/>
  <c r="K387" i="22"/>
  <c r="K388" i="22"/>
  <c r="K389" i="22"/>
  <c r="K390" i="22"/>
  <c r="K391" i="22"/>
  <c r="K392" i="22"/>
  <c r="K393" i="22"/>
  <c r="K382" i="22"/>
  <c r="J384" i="22"/>
  <c r="J385" i="22"/>
  <c r="J386" i="22"/>
  <c r="J387" i="22"/>
  <c r="J388" i="22"/>
  <c r="J389" i="22"/>
  <c r="J390" i="22"/>
  <c r="J391" i="22"/>
  <c r="J392" i="22"/>
  <c r="J393" i="22"/>
  <c r="J383" i="22"/>
  <c r="I383" i="22"/>
  <c r="I384" i="22"/>
  <c r="I385" i="22"/>
  <c r="I386" i="22"/>
  <c r="I387" i="22"/>
  <c r="I388" i="22"/>
  <c r="I389" i="22"/>
  <c r="I390" i="22"/>
  <c r="I391" i="22"/>
  <c r="I392" i="22"/>
  <c r="I393" i="22"/>
  <c r="I382" i="22"/>
  <c r="I323" i="22"/>
  <c r="J323" i="22"/>
  <c r="K323" i="22"/>
  <c r="L323" i="22"/>
  <c r="AF323" i="22" s="1"/>
  <c r="AG323" i="22"/>
  <c r="I324" i="22"/>
  <c r="J324" i="22"/>
  <c r="K324" i="22"/>
  <c r="L324" i="22"/>
  <c r="AF324" i="22" s="1"/>
  <c r="AG324" i="22"/>
  <c r="I325" i="22"/>
  <c r="J325" i="22"/>
  <c r="K325" i="22"/>
  <c r="L325" i="22"/>
  <c r="AF325" i="22" s="1"/>
  <c r="AG325" i="22"/>
  <c r="I326" i="22"/>
  <c r="J326" i="22"/>
  <c r="K326" i="22"/>
  <c r="L326" i="22"/>
  <c r="AF326" i="22" s="1"/>
  <c r="AG326" i="22"/>
  <c r="I327" i="22"/>
  <c r="J327" i="22"/>
  <c r="K327" i="22"/>
  <c r="L327" i="22"/>
  <c r="AF327" i="22" s="1"/>
  <c r="AG327" i="22"/>
  <c r="I328" i="22"/>
  <c r="J328" i="22"/>
  <c r="K328" i="22"/>
  <c r="L328" i="22"/>
  <c r="AF328" i="22" s="1"/>
  <c r="AG328" i="22"/>
  <c r="I329" i="22"/>
  <c r="J329" i="22"/>
  <c r="K329" i="22"/>
  <c r="L329" i="22"/>
  <c r="AF329" i="22" s="1"/>
  <c r="AG329" i="22"/>
  <c r="I330" i="22"/>
  <c r="J330" i="22"/>
  <c r="K330" i="22"/>
  <c r="L330" i="22"/>
  <c r="AF330" i="22" s="1"/>
  <c r="AG330" i="22"/>
  <c r="I331" i="22"/>
  <c r="J331" i="22"/>
  <c r="K331" i="22"/>
  <c r="L331" i="22"/>
  <c r="AF331" i="22" s="1"/>
  <c r="AG331" i="22"/>
  <c r="I332" i="22"/>
  <c r="J332" i="22"/>
  <c r="K332" i="22"/>
  <c r="L332" i="22"/>
  <c r="AF332" i="22" s="1"/>
  <c r="AG332" i="22"/>
  <c r="I333" i="22"/>
  <c r="J333" i="22"/>
  <c r="K333" i="22"/>
  <c r="L333" i="22"/>
  <c r="AF333" i="22" s="1"/>
  <c r="AG333" i="22"/>
  <c r="AG322" i="22"/>
  <c r="L322" i="22"/>
  <c r="AF322" i="22" s="1"/>
  <c r="K322" i="22"/>
  <c r="J322" i="22"/>
  <c r="I322" i="22"/>
  <c r="AG274" i="22"/>
  <c r="AG275" i="22"/>
  <c r="AG276" i="22"/>
  <c r="AG277" i="22"/>
  <c r="AG278" i="22"/>
  <c r="AG279" i="22"/>
  <c r="AG280" i="22"/>
  <c r="AG281" i="22"/>
  <c r="AG282" i="22"/>
  <c r="AG283" i="22"/>
  <c r="AG284" i="22"/>
  <c r="AG285" i="22"/>
  <c r="T107" i="22"/>
  <c r="T108" i="22"/>
  <c r="T109" i="22"/>
  <c r="T110" i="22"/>
  <c r="T111" i="22"/>
  <c r="T112" i="22"/>
  <c r="T113" i="22"/>
  <c r="T114" i="22"/>
  <c r="T115" i="22"/>
  <c r="T116" i="22"/>
  <c r="T117" i="22"/>
  <c r="T106" i="22"/>
  <c r="S107" i="22"/>
  <c r="S108" i="22"/>
  <c r="S109" i="22"/>
  <c r="S110" i="22"/>
  <c r="S111" i="22"/>
  <c r="S112" i="22"/>
  <c r="S113" i="22"/>
  <c r="S114" i="22"/>
  <c r="S115" i="22"/>
  <c r="S116" i="22"/>
  <c r="S117" i="22"/>
  <c r="S106" i="22"/>
  <c r="R107" i="22"/>
  <c r="R108" i="22"/>
  <c r="R109" i="22"/>
  <c r="R110" i="22"/>
  <c r="R111" i="22"/>
  <c r="R112" i="22"/>
  <c r="R113" i="22"/>
  <c r="R114" i="22"/>
  <c r="R115" i="22"/>
  <c r="R116" i="22"/>
  <c r="R117" i="22"/>
  <c r="R106" i="22"/>
  <c r="Q107" i="22"/>
  <c r="Q108" i="22"/>
  <c r="Q109" i="22"/>
  <c r="Q110" i="22"/>
  <c r="Q111" i="22"/>
  <c r="Q112" i="22"/>
  <c r="Q113" i="22"/>
  <c r="Q114" i="22"/>
  <c r="Q115" i="22"/>
  <c r="Q116" i="22"/>
  <c r="Q117" i="22"/>
  <c r="Q106" i="22"/>
  <c r="P106" i="22"/>
  <c r="P107" i="22"/>
  <c r="P108" i="22"/>
  <c r="P109" i="22"/>
  <c r="P110" i="22"/>
  <c r="P111" i="22"/>
  <c r="P112" i="22"/>
  <c r="P113" i="22"/>
  <c r="P114" i="22"/>
  <c r="P115" i="22"/>
  <c r="P116" i="22"/>
  <c r="P117" i="22"/>
  <c r="O107" i="22"/>
  <c r="O108" i="22"/>
  <c r="O109" i="22"/>
  <c r="O110" i="22"/>
  <c r="O111" i="22"/>
  <c r="O112" i="22"/>
  <c r="O113" i="22"/>
  <c r="O114" i="22"/>
  <c r="O115" i="22"/>
  <c r="O116" i="22"/>
  <c r="O117" i="22"/>
  <c r="O106" i="22"/>
  <c r="I107" i="22"/>
  <c r="J107" i="22"/>
  <c r="K107" i="22"/>
  <c r="L107" i="22"/>
  <c r="AF107" i="22" s="1"/>
  <c r="M107" i="22"/>
  <c r="AG107" i="22" s="1"/>
  <c r="N107" i="22"/>
  <c r="I108" i="22"/>
  <c r="J108" i="22"/>
  <c r="K108" i="22"/>
  <c r="L108" i="22"/>
  <c r="AF108" i="22" s="1"/>
  <c r="M108" i="22"/>
  <c r="AG108" i="22" s="1"/>
  <c r="N108" i="22"/>
  <c r="I109" i="22"/>
  <c r="J109" i="22"/>
  <c r="K109" i="22"/>
  <c r="L109" i="22"/>
  <c r="AF109" i="22" s="1"/>
  <c r="M109" i="22"/>
  <c r="AG109" i="22" s="1"/>
  <c r="N109" i="22"/>
  <c r="I110" i="22"/>
  <c r="J110" i="22"/>
  <c r="K110" i="22"/>
  <c r="L110" i="22"/>
  <c r="AF110" i="22" s="1"/>
  <c r="M110" i="22"/>
  <c r="AG110" i="22" s="1"/>
  <c r="N110" i="22"/>
  <c r="I111" i="22"/>
  <c r="J111" i="22"/>
  <c r="K111" i="22"/>
  <c r="L111" i="22"/>
  <c r="AF111" i="22" s="1"/>
  <c r="M111" i="22"/>
  <c r="AG111" i="22" s="1"/>
  <c r="N111" i="22"/>
  <c r="I112" i="22"/>
  <c r="J112" i="22"/>
  <c r="K112" i="22"/>
  <c r="L112" i="22"/>
  <c r="AF112" i="22" s="1"/>
  <c r="M112" i="22"/>
  <c r="AG112" i="22" s="1"/>
  <c r="N112" i="22"/>
  <c r="I113" i="22"/>
  <c r="J113" i="22"/>
  <c r="K113" i="22"/>
  <c r="L113" i="22"/>
  <c r="AF113" i="22" s="1"/>
  <c r="M113" i="22"/>
  <c r="AG113" i="22" s="1"/>
  <c r="N113" i="22"/>
  <c r="I114" i="22"/>
  <c r="J114" i="22"/>
  <c r="K114" i="22"/>
  <c r="L114" i="22"/>
  <c r="AF114" i="22" s="1"/>
  <c r="M114" i="22"/>
  <c r="AG114" i="22" s="1"/>
  <c r="N114" i="22"/>
  <c r="I115" i="22"/>
  <c r="J115" i="22"/>
  <c r="K115" i="22"/>
  <c r="L115" i="22"/>
  <c r="AF115" i="22" s="1"/>
  <c r="M115" i="22"/>
  <c r="AG115" i="22" s="1"/>
  <c r="N115" i="22"/>
  <c r="I116" i="22"/>
  <c r="J116" i="22"/>
  <c r="K116" i="22"/>
  <c r="L116" i="22"/>
  <c r="AF116" i="22" s="1"/>
  <c r="M116" i="22"/>
  <c r="AG116" i="22" s="1"/>
  <c r="N116" i="22"/>
  <c r="I117" i="22"/>
  <c r="J117" i="22"/>
  <c r="K117" i="22"/>
  <c r="L117" i="22"/>
  <c r="AF117" i="22" s="1"/>
  <c r="M117" i="22"/>
  <c r="AG117" i="22" s="1"/>
  <c r="N117" i="22"/>
  <c r="N106" i="22"/>
  <c r="M106" i="22"/>
  <c r="AG106" i="22" s="1"/>
  <c r="L106" i="22"/>
  <c r="AF106" i="22" s="1"/>
  <c r="K106" i="22"/>
  <c r="J106" i="22"/>
  <c r="I106" i="22"/>
  <c r="G94" i="1" l="1"/>
  <c r="G93" i="1"/>
  <c r="G89" i="1"/>
  <c r="G78" i="1"/>
  <c r="G74" i="1"/>
  <c r="G66" i="1"/>
  <c r="G61" i="1"/>
  <c r="G60" i="1"/>
  <c r="G47" i="1"/>
  <c r="G44" i="1"/>
  <c r="G42" i="1"/>
  <c r="G41" i="1"/>
  <c r="G39" i="1"/>
  <c r="G35" i="1"/>
  <c r="G30" i="1"/>
  <c r="G28" i="1"/>
  <c r="G15" i="1"/>
  <c r="G13" i="1"/>
  <c r="G11" i="1"/>
  <c r="M81" i="2" l="1"/>
  <c r="C102" i="14" s="1"/>
  <c r="M80" i="2"/>
  <c r="C101" i="14" s="1"/>
  <c r="M77" i="2"/>
  <c r="M76" i="2"/>
  <c r="M75" i="2"/>
  <c r="M74" i="2"/>
  <c r="M69" i="2" s="1"/>
  <c r="M73" i="2"/>
  <c r="C94" i="14" s="1"/>
  <c r="M65" i="2"/>
  <c r="M55" i="2"/>
  <c r="M54" i="2"/>
  <c r="M53" i="2"/>
  <c r="M52" i="2"/>
  <c r="M46" i="2"/>
  <c r="M45" i="2"/>
  <c r="M43" i="2"/>
  <c r="M31" i="2"/>
  <c r="M29" i="2"/>
  <c r="C29" i="14" s="1"/>
  <c r="M14" i="2"/>
  <c r="C14" i="14" s="1"/>
  <c r="M10" i="2"/>
  <c r="L10" i="2"/>
  <c r="C10" i="14" s="1"/>
  <c r="G90" i="1" l="1"/>
  <c r="G12" i="1"/>
  <c r="G10" i="1"/>
  <c r="G9" i="1"/>
  <c r="M71" i="2"/>
  <c r="P84" i="2" l="1"/>
  <c r="P83" i="2"/>
  <c r="P80" i="2"/>
  <c r="P79" i="2"/>
  <c r="P68" i="2"/>
  <c r="P65" i="2"/>
  <c r="P64" i="2"/>
  <c r="P56" i="2"/>
  <c r="P55" i="2"/>
  <c r="P51" i="2"/>
  <c r="P50" i="2"/>
  <c r="P48" i="2"/>
  <c r="P47" i="2"/>
  <c r="P46" i="2"/>
  <c r="P44" i="2"/>
  <c r="P42" i="2"/>
  <c r="P41" i="2"/>
  <c r="P39" i="2"/>
  <c r="P36" i="2"/>
  <c r="P35" i="2"/>
  <c r="P31" i="2"/>
  <c r="P30" i="2"/>
  <c r="P28" i="2"/>
  <c r="P17" i="2"/>
  <c r="P15" i="2"/>
  <c r="P13" i="2"/>
  <c r="P11" i="2"/>
  <c r="P9" i="2"/>
  <c r="AO778" i="22" l="1"/>
  <c r="AO779" i="22"/>
  <c r="AO780" i="22"/>
  <c r="AO781" i="22"/>
  <c r="AO782" i="22"/>
  <c r="AO783" i="22"/>
  <c r="AO784" i="22"/>
  <c r="AO785" i="22"/>
  <c r="AO786" i="22"/>
  <c r="AO787" i="22"/>
  <c r="AO788" i="22"/>
  <c r="AO789" i="22"/>
  <c r="AO802" i="22"/>
  <c r="AO803" i="22"/>
  <c r="AO804" i="22"/>
  <c r="AO805" i="22"/>
  <c r="AO806" i="22"/>
  <c r="AO807" i="22"/>
  <c r="AO808" i="22"/>
  <c r="AO809" i="22"/>
  <c r="AO810" i="22"/>
  <c r="AO811" i="22"/>
  <c r="AO812" i="22"/>
  <c r="AO813" i="22"/>
  <c r="AO814" i="22"/>
  <c r="I803" i="22"/>
  <c r="I791" i="22" s="1"/>
  <c r="J803" i="22"/>
  <c r="J791" i="22" s="1"/>
  <c r="K803" i="22"/>
  <c r="K791" i="22" s="1"/>
  <c r="I804" i="22"/>
  <c r="I792" i="22" s="1"/>
  <c r="J804" i="22"/>
  <c r="J792" i="22" s="1"/>
  <c r="K804" i="22"/>
  <c r="K792" i="22" s="1"/>
  <c r="I805" i="22"/>
  <c r="I793" i="22" s="1"/>
  <c r="J805" i="22"/>
  <c r="J793" i="22" s="1"/>
  <c r="K805" i="22"/>
  <c r="K793" i="22" s="1"/>
  <c r="I806" i="22"/>
  <c r="I794" i="22" s="1"/>
  <c r="J806" i="22"/>
  <c r="J794" i="22" s="1"/>
  <c r="K806" i="22"/>
  <c r="K794" i="22" s="1"/>
  <c r="I807" i="22"/>
  <c r="I795" i="22" s="1"/>
  <c r="J807" i="22"/>
  <c r="J795" i="22" s="1"/>
  <c r="K807" i="22"/>
  <c r="K795" i="22" s="1"/>
  <c r="I808" i="22"/>
  <c r="I796" i="22" s="1"/>
  <c r="J808" i="22"/>
  <c r="J796" i="22" s="1"/>
  <c r="K808" i="22"/>
  <c r="K796" i="22" s="1"/>
  <c r="I809" i="22"/>
  <c r="I797" i="22" s="1"/>
  <c r="J809" i="22"/>
  <c r="J797" i="22" s="1"/>
  <c r="K809" i="22"/>
  <c r="K797" i="22" s="1"/>
  <c r="I810" i="22"/>
  <c r="I798" i="22" s="1"/>
  <c r="J810" i="22"/>
  <c r="J798" i="22" s="1"/>
  <c r="K810" i="22"/>
  <c r="K798" i="22" s="1"/>
  <c r="I811" i="22"/>
  <c r="I799" i="22" s="1"/>
  <c r="J811" i="22"/>
  <c r="J799" i="22" s="1"/>
  <c r="K811" i="22"/>
  <c r="K799" i="22" s="1"/>
  <c r="I812" i="22"/>
  <c r="I800" i="22" s="1"/>
  <c r="J812" i="22"/>
  <c r="J800" i="22" s="1"/>
  <c r="K812" i="22"/>
  <c r="K800" i="22" s="1"/>
  <c r="I813" i="22"/>
  <c r="I801" i="22" s="1"/>
  <c r="J813" i="22"/>
  <c r="J801" i="22" s="1"/>
  <c r="K813" i="22"/>
  <c r="K801" i="22" s="1"/>
  <c r="J802" i="22"/>
  <c r="J790" i="22" s="1"/>
  <c r="K802" i="22"/>
  <c r="K790" i="22" s="1"/>
  <c r="I802" i="22"/>
  <c r="I790" i="22" s="1"/>
  <c r="I779" i="22"/>
  <c r="J779" i="22"/>
  <c r="K779" i="22"/>
  <c r="I780" i="22"/>
  <c r="K780" i="22"/>
  <c r="I781" i="22"/>
  <c r="J781" i="22"/>
  <c r="K781" i="22"/>
  <c r="I782" i="22"/>
  <c r="J782" i="22"/>
  <c r="K782" i="22"/>
  <c r="J783" i="22"/>
  <c r="K783" i="22"/>
  <c r="I784" i="22"/>
  <c r="J784" i="22"/>
  <c r="K784" i="22"/>
  <c r="I785" i="22"/>
  <c r="J785" i="22"/>
  <c r="I786" i="22"/>
  <c r="J786" i="22"/>
  <c r="K786" i="22"/>
  <c r="I787" i="22"/>
  <c r="J787" i="22"/>
  <c r="K787" i="22"/>
  <c r="I788" i="22"/>
  <c r="K788" i="22"/>
  <c r="I789" i="22"/>
  <c r="J789" i="22"/>
  <c r="K789" i="22"/>
  <c r="J778" i="22"/>
  <c r="K778" i="22"/>
  <c r="W780" i="22"/>
  <c r="X780" i="22"/>
  <c r="Y780" i="22"/>
  <c r="Z780" i="22"/>
  <c r="AA780" i="22"/>
  <c r="AB780" i="22"/>
  <c r="W781" i="22"/>
  <c r="X781" i="22"/>
  <c r="Y781" i="22"/>
  <c r="Z781" i="22"/>
  <c r="AA781" i="22"/>
  <c r="AB781" i="22"/>
  <c r="W782" i="22"/>
  <c r="X782" i="22"/>
  <c r="Y782" i="22"/>
  <c r="Z782" i="22"/>
  <c r="AA782" i="22"/>
  <c r="AB782" i="22"/>
  <c r="W783" i="22"/>
  <c r="X783" i="22"/>
  <c r="Y783" i="22"/>
  <c r="Z783" i="22"/>
  <c r="AA783" i="22"/>
  <c r="AB783" i="22"/>
  <c r="W784" i="22"/>
  <c r="X784" i="22"/>
  <c r="Y784" i="22"/>
  <c r="Z784" i="22"/>
  <c r="AA784" i="22"/>
  <c r="AB784" i="22"/>
  <c r="W785" i="22"/>
  <c r="X785" i="22"/>
  <c r="Y785" i="22"/>
  <c r="Z785" i="22"/>
  <c r="AA785" i="22"/>
  <c r="AB785" i="22"/>
  <c r="W786" i="22"/>
  <c r="X786" i="22"/>
  <c r="Y786" i="22"/>
  <c r="Z786" i="22"/>
  <c r="AA786" i="22"/>
  <c r="AB786" i="22"/>
  <c r="W787" i="22"/>
  <c r="X787" i="22"/>
  <c r="Y787" i="22"/>
  <c r="Z787" i="22"/>
  <c r="AA787" i="22"/>
  <c r="AB787" i="22"/>
  <c r="W788" i="22"/>
  <c r="X788" i="22"/>
  <c r="Y788" i="22"/>
  <c r="Z788" i="22"/>
  <c r="AA788" i="22"/>
  <c r="AB788" i="22"/>
  <c r="W789" i="22"/>
  <c r="X789" i="22"/>
  <c r="Y789" i="22"/>
  <c r="Z789" i="22"/>
  <c r="AA789" i="22"/>
  <c r="AB789" i="22"/>
  <c r="W802" i="22"/>
  <c r="X802" i="22"/>
  <c r="Y802" i="22"/>
  <c r="Z802" i="22"/>
  <c r="AA802" i="22"/>
  <c r="AB802" i="22"/>
  <c r="W803" i="22"/>
  <c r="X803" i="22"/>
  <c r="Y803" i="22"/>
  <c r="Z803" i="22"/>
  <c r="AA803" i="22"/>
  <c r="AB803" i="22"/>
  <c r="W804" i="22"/>
  <c r="X804" i="22"/>
  <c r="Y804" i="22"/>
  <c r="Z804" i="22"/>
  <c r="AA804" i="22"/>
  <c r="AB804" i="22"/>
  <c r="W805" i="22"/>
  <c r="X805" i="22"/>
  <c r="Y805" i="22"/>
  <c r="Z805" i="22"/>
  <c r="AA805" i="22"/>
  <c r="AB805" i="22"/>
  <c r="W806" i="22"/>
  <c r="X806" i="22"/>
  <c r="Y806" i="22"/>
  <c r="Z806" i="22"/>
  <c r="AA806" i="22"/>
  <c r="AB806" i="22"/>
  <c r="W807" i="22"/>
  <c r="X807" i="22"/>
  <c r="Y807" i="22"/>
  <c r="Z807" i="22"/>
  <c r="AA807" i="22"/>
  <c r="AB807" i="22"/>
  <c r="W808" i="22"/>
  <c r="X808" i="22"/>
  <c r="Y808" i="22"/>
  <c r="Z808" i="22"/>
  <c r="AA808" i="22"/>
  <c r="AB808" i="22"/>
  <c r="W809" i="22"/>
  <c r="X809" i="22"/>
  <c r="Y809" i="22"/>
  <c r="Z809" i="22"/>
  <c r="AA809" i="22"/>
  <c r="AB809" i="22"/>
  <c r="W810" i="22"/>
  <c r="X810" i="22"/>
  <c r="Y810" i="22"/>
  <c r="Z810" i="22"/>
  <c r="AA810" i="22"/>
  <c r="AB810" i="22"/>
  <c r="W811" i="22"/>
  <c r="X811" i="22"/>
  <c r="Y811" i="22"/>
  <c r="Z811" i="22"/>
  <c r="AA811" i="22"/>
  <c r="AB811" i="22"/>
  <c r="W812" i="22"/>
  <c r="X812" i="22"/>
  <c r="Y812" i="22"/>
  <c r="Z812" i="22"/>
  <c r="AA812" i="22"/>
  <c r="AB812" i="22"/>
  <c r="W813" i="22"/>
  <c r="X813" i="22"/>
  <c r="Y813" i="22"/>
  <c r="Z813" i="22"/>
  <c r="AA813" i="22"/>
  <c r="AB813" i="22"/>
  <c r="W779" i="22"/>
  <c r="X779" i="22"/>
  <c r="Y779" i="22"/>
  <c r="Z779" i="22"/>
  <c r="AA779" i="22"/>
  <c r="AB779" i="22"/>
  <c r="X778" i="22"/>
  <c r="Y778" i="22"/>
  <c r="Z778" i="22"/>
  <c r="AA778" i="22"/>
  <c r="W778" i="22"/>
  <c r="AB778" i="22"/>
  <c r="B778" i="22"/>
  <c r="A778" i="22"/>
  <c r="A754" i="22"/>
  <c r="B754" i="22"/>
  <c r="I755" i="22"/>
  <c r="J755" i="22"/>
  <c r="K755" i="22"/>
  <c r="I756" i="22"/>
  <c r="J756" i="22"/>
  <c r="K756" i="22"/>
  <c r="I757" i="22"/>
  <c r="J757" i="22"/>
  <c r="K757" i="22"/>
  <c r="I758" i="22"/>
  <c r="J758" i="22"/>
  <c r="K758" i="22"/>
  <c r="I759" i="22"/>
  <c r="J759" i="22"/>
  <c r="K759" i="22"/>
  <c r="I760" i="22"/>
  <c r="J760" i="22"/>
  <c r="K760" i="22"/>
  <c r="I761" i="22"/>
  <c r="J761" i="22"/>
  <c r="K761" i="22"/>
  <c r="I762" i="22"/>
  <c r="J762" i="22"/>
  <c r="K762" i="22"/>
  <c r="I763" i="22"/>
  <c r="J763" i="22"/>
  <c r="K763" i="22"/>
  <c r="I764" i="22"/>
  <c r="J764" i="22"/>
  <c r="K764" i="22"/>
  <c r="I765" i="22"/>
  <c r="J765" i="22"/>
  <c r="K765" i="22"/>
  <c r="J754" i="22"/>
  <c r="K754" i="22"/>
  <c r="I754" i="22"/>
  <c r="I753" i="22"/>
  <c r="AO754" i="22"/>
  <c r="AO755" i="22"/>
  <c r="AO756" i="22"/>
  <c r="AO757" i="22"/>
  <c r="AO758" i="22"/>
  <c r="AO759" i="22"/>
  <c r="AO760" i="22"/>
  <c r="AO761" i="22"/>
  <c r="AO762" i="22"/>
  <c r="AO763" i="22"/>
  <c r="AO764" i="22"/>
  <c r="AO765" i="22"/>
  <c r="W754" i="22"/>
  <c r="X754" i="22"/>
  <c r="Y754" i="22"/>
  <c r="Z754" i="22"/>
  <c r="AA754" i="22"/>
  <c r="AB754" i="22"/>
  <c r="W755" i="22"/>
  <c r="X755" i="22"/>
  <c r="Y755" i="22"/>
  <c r="Z755" i="22"/>
  <c r="AA755" i="22"/>
  <c r="AB755" i="22"/>
  <c r="W756" i="22"/>
  <c r="X756" i="22"/>
  <c r="Y756" i="22"/>
  <c r="Z756" i="22"/>
  <c r="AA756" i="22"/>
  <c r="AB756" i="22"/>
  <c r="W757" i="22"/>
  <c r="X757" i="22"/>
  <c r="Y757" i="22"/>
  <c r="Z757" i="22"/>
  <c r="AA757" i="22"/>
  <c r="AB757" i="22"/>
  <c r="W758" i="22"/>
  <c r="X758" i="22"/>
  <c r="Y758" i="22"/>
  <c r="Z758" i="22"/>
  <c r="AA758" i="22"/>
  <c r="AB758" i="22"/>
  <c r="W759" i="22"/>
  <c r="X759" i="22"/>
  <c r="Y759" i="22"/>
  <c r="Z759" i="22"/>
  <c r="AA759" i="22"/>
  <c r="AB759" i="22"/>
  <c r="W760" i="22"/>
  <c r="X760" i="22"/>
  <c r="Y760" i="22"/>
  <c r="Z760" i="22"/>
  <c r="AA760" i="22"/>
  <c r="AB760" i="22"/>
  <c r="W761" i="22"/>
  <c r="X761" i="22"/>
  <c r="Y761" i="22"/>
  <c r="Z761" i="22"/>
  <c r="AA761" i="22"/>
  <c r="AB761" i="22"/>
  <c r="W762" i="22"/>
  <c r="X762" i="22"/>
  <c r="Y762" i="22"/>
  <c r="Z762" i="22"/>
  <c r="AA762" i="22"/>
  <c r="AB762" i="22"/>
  <c r="W763" i="22"/>
  <c r="X763" i="22"/>
  <c r="Y763" i="22"/>
  <c r="Z763" i="22"/>
  <c r="AA763" i="22"/>
  <c r="AB763" i="22"/>
  <c r="W764" i="22"/>
  <c r="X764" i="22"/>
  <c r="Y764" i="22"/>
  <c r="Z764" i="22"/>
  <c r="AA764" i="22"/>
  <c r="AB764" i="22"/>
  <c r="W765" i="22"/>
  <c r="X765" i="22"/>
  <c r="Y765" i="22"/>
  <c r="Z765" i="22"/>
  <c r="AA765" i="22"/>
  <c r="AB765" i="22"/>
  <c r="J788" i="22" l="1"/>
  <c r="K785" i="22"/>
  <c r="I783" i="22"/>
  <c r="J780" i="22"/>
  <c r="AO34" i="22"/>
  <c r="AO35" i="22"/>
  <c r="AO36" i="22"/>
  <c r="AO37" i="22"/>
  <c r="AO38" i="22"/>
  <c r="AO39" i="22"/>
  <c r="AO40" i="22"/>
  <c r="AO41" i="22"/>
  <c r="AO42" i="22"/>
  <c r="AO43" i="22"/>
  <c r="AO44" i="22"/>
  <c r="AO45" i="22"/>
  <c r="B766" i="22" l="1"/>
  <c r="B22" i="22"/>
  <c r="B10" i="22"/>
  <c r="B742" i="22"/>
  <c r="B730" i="22"/>
  <c r="W731" i="22"/>
  <c r="W732" i="22"/>
  <c r="W733" i="22"/>
  <c r="W734" i="22"/>
  <c r="W735" i="22"/>
  <c r="W736" i="22"/>
  <c r="W737" i="22"/>
  <c r="W738" i="22"/>
  <c r="W739" i="22"/>
  <c r="W740" i="22"/>
  <c r="W741" i="22"/>
  <c r="G91" i="1" l="1"/>
  <c r="A102" i="14"/>
  <c r="B102" i="14"/>
  <c r="H94" i="1"/>
  <c r="H93" i="1"/>
  <c r="H89" i="1"/>
  <c r="E78" i="1"/>
  <c r="H74" i="1"/>
  <c r="F61" i="1"/>
  <c r="B78" i="1"/>
  <c r="H47" i="1"/>
  <c r="H44" i="1"/>
  <c r="H42" i="1"/>
  <c r="H41" i="1"/>
  <c r="F35" i="1"/>
  <c r="H30" i="1"/>
  <c r="H28" i="1"/>
  <c r="H15" i="1"/>
  <c r="H13" i="1"/>
  <c r="A91" i="1"/>
  <c r="A91" i="15" s="1"/>
  <c r="B91" i="1"/>
  <c r="B91" i="15" s="1"/>
  <c r="C91" i="1"/>
  <c r="C91" i="15" s="1"/>
  <c r="D91" i="1"/>
  <c r="D91" i="15" s="1"/>
  <c r="AD850" i="22" l="1"/>
  <c r="AD858" i="22"/>
  <c r="AC854" i="22"/>
  <c r="AD860" i="22"/>
  <c r="AC857" i="22"/>
  <c r="AE857" i="22"/>
  <c r="AC860" i="22"/>
  <c r="AD859" i="22"/>
  <c r="AD851" i="22"/>
  <c r="AC859" i="22"/>
  <c r="AE858" i="22"/>
  <c r="AE850" i="22"/>
  <c r="AD854" i="22"/>
  <c r="AC853" i="22"/>
  <c r="AE855" i="22"/>
  <c r="AC856" i="22"/>
  <c r="AD857" i="22"/>
  <c r="AC858" i="22"/>
  <c r="AC855" i="22"/>
  <c r="AE856" i="22"/>
  <c r="AD852" i="22"/>
  <c r="AE861" i="22"/>
  <c r="AE853" i="22"/>
  <c r="AC852" i="22"/>
  <c r="AD855" i="22"/>
  <c r="AC861" i="22"/>
  <c r="AC851" i="22"/>
  <c r="AE854" i="22"/>
  <c r="AC850" i="22"/>
  <c r="AE859" i="22"/>
  <c r="AE851" i="22"/>
  <c r="AD861" i="22"/>
  <c r="AD853" i="22"/>
  <c r="AD856" i="22"/>
  <c r="AE860" i="22"/>
  <c r="AE852" i="22"/>
  <c r="F78" i="1"/>
  <c r="H61" i="1"/>
  <c r="E61" i="1"/>
  <c r="H78" i="1"/>
  <c r="E94" i="1"/>
  <c r="F94" i="1"/>
  <c r="E93" i="1"/>
  <c r="F93" i="1"/>
  <c r="E89" i="1"/>
  <c r="F89" i="1"/>
  <c r="E74" i="1"/>
  <c r="F74" i="1"/>
  <c r="F47" i="1"/>
  <c r="E44" i="1"/>
  <c r="F44" i="1"/>
  <c r="E42" i="1"/>
  <c r="F42" i="1"/>
  <c r="F41" i="1"/>
  <c r="E41" i="1"/>
  <c r="E39" i="1"/>
  <c r="F39" i="1"/>
  <c r="E35" i="1"/>
  <c r="E30" i="1"/>
  <c r="F30" i="1"/>
  <c r="E28" i="1"/>
  <c r="F28" i="1"/>
  <c r="E15" i="1"/>
  <c r="F15" i="1"/>
  <c r="E13" i="1"/>
  <c r="F13" i="1"/>
  <c r="B17" i="1" l="1"/>
  <c r="A742" i="22" l="1"/>
  <c r="A730" i="22"/>
  <c r="W730" i="22"/>
  <c r="A79" i="1"/>
  <c r="A79" i="15" s="1"/>
  <c r="AO730" i="22" l="1"/>
  <c r="AO731" i="22"/>
  <c r="AO732" i="22"/>
  <c r="AO733" i="22"/>
  <c r="AO734" i="22"/>
  <c r="AO735" i="22"/>
  <c r="AO736" i="22"/>
  <c r="AO737" i="22"/>
  <c r="AO738" i="22"/>
  <c r="AO739" i="22"/>
  <c r="AO740" i="22"/>
  <c r="AO741" i="22"/>
  <c r="X732" i="22"/>
  <c r="Y732" i="22"/>
  <c r="Z732" i="22"/>
  <c r="AA732" i="22"/>
  <c r="AB732" i="22"/>
  <c r="X733" i="22"/>
  <c r="Y733" i="22"/>
  <c r="Z733" i="22"/>
  <c r="AA733" i="22"/>
  <c r="AB733" i="22"/>
  <c r="X734" i="22"/>
  <c r="Y734" i="22"/>
  <c r="Z734" i="22"/>
  <c r="AA734" i="22"/>
  <c r="AB734" i="22"/>
  <c r="X735" i="22"/>
  <c r="Y735" i="22"/>
  <c r="Z735" i="22"/>
  <c r="AA735" i="22"/>
  <c r="AB735" i="22"/>
  <c r="X736" i="22"/>
  <c r="Y736" i="22"/>
  <c r="Z736" i="22"/>
  <c r="AA736" i="22"/>
  <c r="AB736" i="22"/>
  <c r="X737" i="22"/>
  <c r="Y737" i="22"/>
  <c r="Z737" i="22"/>
  <c r="AA737" i="22"/>
  <c r="AB737" i="22"/>
  <c r="X738" i="22"/>
  <c r="Y738" i="22"/>
  <c r="Z738" i="22"/>
  <c r="AA738" i="22"/>
  <c r="AB738" i="22"/>
  <c r="X739" i="22"/>
  <c r="Y739" i="22"/>
  <c r="Z739" i="22"/>
  <c r="AA739" i="22"/>
  <c r="AB739" i="22"/>
  <c r="X740" i="22"/>
  <c r="Y740" i="22"/>
  <c r="Z740" i="22"/>
  <c r="AA740" i="22"/>
  <c r="AB740" i="22"/>
  <c r="X741" i="22"/>
  <c r="Y741" i="22"/>
  <c r="Z741" i="22"/>
  <c r="AA741" i="22"/>
  <c r="AB741" i="22"/>
  <c r="X730" i="22"/>
  <c r="Y730" i="22"/>
  <c r="Z730" i="22"/>
  <c r="AA730" i="22"/>
  <c r="AB730" i="22"/>
  <c r="X731" i="22"/>
  <c r="Y731" i="22"/>
  <c r="Z731" i="22"/>
  <c r="AA731" i="22"/>
  <c r="AB731" i="22"/>
  <c r="I731" i="22"/>
  <c r="J731" i="22"/>
  <c r="K731" i="22"/>
  <c r="I732" i="22"/>
  <c r="J732" i="22"/>
  <c r="K732" i="22"/>
  <c r="I733" i="22"/>
  <c r="J733" i="22"/>
  <c r="K733" i="22"/>
  <c r="I734" i="22"/>
  <c r="J734" i="22"/>
  <c r="K734" i="22"/>
  <c r="I735" i="22"/>
  <c r="J735" i="22"/>
  <c r="K735" i="22"/>
  <c r="I736" i="22"/>
  <c r="J736" i="22"/>
  <c r="K736" i="22"/>
  <c r="I737" i="22"/>
  <c r="J737" i="22"/>
  <c r="K737" i="22"/>
  <c r="I738" i="22"/>
  <c r="J738" i="22"/>
  <c r="K738" i="22"/>
  <c r="I739" i="22"/>
  <c r="J739" i="22"/>
  <c r="K739" i="22"/>
  <c r="I740" i="22"/>
  <c r="J740" i="22"/>
  <c r="K740" i="22"/>
  <c r="I741" i="22"/>
  <c r="J741" i="22"/>
  <c r="K741" i="22"/>
  <c r="K730" i="22"/>
  <c r="J730" i="22"/>
  <c r="I730" i="22"/>
  <c r="B90" i="14"/>
  <c r="B79" i="1"/>
  <c r="B79" i="15" s="1"/>
  <c r="C79" i="1"/>
  <c r="C79" i="15" s="1"/>
  <c r="D79" i="1"/>
  <c r="D79" i="15" s="1"/>
  <c r="L53" i="2" l="1"/>
  <c r="C74" i="14" s="1"/>
  <c r="G63" i="1" l="1"/>
  <c r="A91" i="14" l="1"/>
  <c r="B91" i="14"/>
  <c r="A93" i="14"/>
  <c r="B93" i="14"/>
  <c r="A94" i="14"/>
  <c r="B94" i="14"/>
  <c r="A96" i="14"/>
  <c r="B96" i="14"/>
  <c r="A97" i="14"/>
  <c r="B97" i="14"/>
  <c r="A98" i="14"/>
  <c r="B98" i="14"/>
  <c r="A85" i="1"/>
  <c r="A85" i="15" s="1"/>
  <c r="B85" i="1"/>
  <c r="B85" i="15" s="1"/>
  <c r="C85" i="1"/>
  <c r="C85" i="15" s="1"/>
  <c r="D85" i="1"/>
  <c r="D85" i="15" s="1"/>
  <c r="A86" i="1"/>
  <c r="A86" i="15" s="1"/>
  <c r="B86" i="1"/>
  <c r="B86" i="15" s="1"/>
  <c r="C86" i="1"/>
  <c r="C86" i="15" s="1"/>
  <c r="D86" i="1"/>
  <c r="D86" i="15" s="1"/>
  <c r="A87" i="1"/>
  <c r="A87" i="15" s="1"/>
  <c r="B87" i="1"/>
  <c r="B87" i="15" s="1"/>
  <c r="C87" i="1"/>
  <c r="C87" i="15" s="1"/>
  <c r="D87" i="1"/>
  <c r="D87" i="15" s="1"/>
  <c r="A83" i="1"/>
  <c r="A83" i="15" s="1"/>
  <c r="B83" i="1"/>
  <c r="B83" i="15" s="1"/>
  <c r="C83" i="1"/>
  <c r="C83" i="15" s="1"/>
  <c r="D83" i="1"/>
  <c r="D83" i="15" s="1"/>
  <c r="A80" i="1"/>
  <c r="A80" i="15" s="1"/>
  <c r="B80" i="1"/>
  <c r="B80" i="15" s="1"/>
  <c r="C80" i="1"/>
  <c r="C80" i="15" s="1"/>
  <c r="D80" i="1"/>
  <c r="D80" i="15" s="1"/>
  <c r="M70" i="2"/>
  <c r="M72" i="2"/>
  <c r="A82" i="1"/>
  <c r="A82" i="15" s="1"/>
  <c r="B82" i="1"/>
  <c r="B82" i="15" s="1"/>
  <c r="C82" i="1"/>
  <c r="C82" i="15" s="1"/>
  <c r="D82" i="1"/>
  <c r="D82" i="15" s="1"/>
  <c r="G83" i="1" l="1"/>
  <c r="G83" i="15" s="1"/>
  <c r="I80" i="1"/>
  <c r="I80" i="15" s="1"/>
  <c r="I82" i="1"/>
  <c r="I82" i="15" s="1"/>
  <c r="I87" i="1"/>
  <c r="I87" i="15" s="1"/>
  <c r="I86" i="1"/>
  <c r="I86" i="15" s="1"/>
  <c r="I85" i="1"/>
  <c r="I85" i="15" s="1"/>
  <c r="I73" i="2"/>
  <c r="I83" i="1"/>
  <c r="I83" i="15" s="1"/>
  <c r="AO897" i="22" l="1"/>
  <c r="AB897" i="22"/>
  <c r="AA897" i="22"/>
  <c r="Z897" i="22"/>
  <c r="Y897" i="22"/>
  <c r="X897" i="22"/>
  <c r="W897" i="22"/>
  <c r="AO896" i="22"/>
  <c r="AB896" i="22"/>
  <c r="AA896" i="22"/>
  <c r="Z896" i="22"/>
  <c r="Y896" i="22"/>
  <c r="X896" i="22"/>
  <c r="W896" i="22"/>
  <c r="AO895" i="22"/>
  <c r="AB895" i="22"/>
  <c r="AA895" i="22"/>
  <c r="Z895" i="22"/>
  <c r="Y895" i="22"/>
  <c r="X895" i="22"/>
  <c r="W895" i="22"/>
  <c r="AO894" i="22"/>
  <c r="AB894" i="22"/>
  <c r="AA894" i="22"/>
  <c r="Z894" i="22"/>
  <c r="Y894" i="22"/>
  <c r="X894" i="22"/>
  <c r="W894" i="22"/>
  <c r="AO893" i="22"/>
  <c r="AB893" i="22"/>
  <c r="AA893" i="22"/>
  <c r="Z893" i="22"/>
  <c r="Y893" i="22"/>
  <c r="X893" i="22"/>
  <c r="W893" i="22"/>
  <c r="AO892" i="22"/>
  <c r="AB892" i="22"/>
  <c r="AA892" i="22"/>
  <c r="Z892" i="22"/>
  <c r="Y892" i="22"/>
  <c r="X892" i="22"/>
  <c r="W892" i="22"/>
  <c r="AO891" i="22"/>
  <c r="AB891" i="22"/>
  <c r="AA891" i="22"/>
  <c r="Z891" i="22"/>
  <c r="Y891" i="22"/>
  <c r="X891" i="22"/>
  <c r="W891" i="22"/>
  <c r="AO890" i="22"/>
  <c r="AB890" i="22"/>
  <c r="AA890" i="22"/>
  <c r="Z890" i="22"/>
  <c r="Y890" i="22"/>
  <c r="X890" i="22"/>
  <c r="W890" i="22"/>
  <c r="AO889" i="22"/>
  <c r="AB889" i="22"/>
  <c r="AA889" i="22"/>
  <c r="Z889" i="22"/>
  <c r="Y889" i="22"/>
  <c r="X889" i="22"/>
  <c r="W889" i="22"/>
  <c r="AO888" i="22"/>
  <c r="AB888" i="22"/>
  <c r="AA888" i="22"/>
  <c r="Z888" i="22"/>
  <c r="Y888" i="22"/>
  <c r="X888" i="22"/>
  <c r="W888" i="22"/>
  <c r="AO887" i="22"/>
  <c r="AB887" i="22"/>
  <c r="AA887" i="22"/>
  <c r="Z887" i="22"/>
  <c r="Y887" i="22"/>
  <c r="X887" i="22"/>
  <c r="W887" i="22"/>
  <c r="AO886" i="22"/>
  <c r="AB886" i="22"/>
  <c r="AA886" i="22"/>
  <c r="Z886" i="22"/>
  <c r="Y886" i="22"/>
  <c r="X886" i="22"/>
  <c r="W886" i="22"/>
  <c r="B886" i="22"/>
  <c r="A886" i="22"/>
  <c r="AO885" i="22"/>
  <c r="AB885" i="22"/>
  <c r="AA885" i="22"/>
  <c r="Z885" i="22"/>
  <c r="Y885" i="22"/>
  <c r="X885" i="22"/>
  <c r="W885" i="22"/>
  <c r="AO884" i="22"/>
  <c r="AB884" i="22"/>
  <c r="AA884" i="22"/>
  <c r="Z884" i="22"/>
  <c r="Y884" i="22"/>
  <c r="X884" i="22"/>
  <c r="W884" i="22"/>
  <c r="AO883" i="22"/>
  <c r="AB883" i="22"/>
  <c r="AA883" i="22"/>
  <c r="Z883" i="22"/>
  <c r="Y883" i="22"/>
  <c r="X883" i="22"/>
  <c r="W883" i="22"/>
  <c r="AO882" i="22"/>
  <c r="AB882" i="22"/>
  <c r="AA882" i="22"/>
  <c r="Z882" i="22"/>
  <c r="Y882" i="22"/>
  <c r="X882" i="22"/>
  <c r="W882" i="22"/>
  <c r="AO881" i="22"/>
  <c r="AB881" i="22"/>
  <c r="AA881" i="22"/>
  <c r="Z881" i="22"/>
  <c r="Y881" i="22"/>
  <c r="X881" i="22"/>
  <c r="W881" i="22"/>
  <c r="AO880" i="22"/>
  <c r="AB880" i="22"/>
  <c r="AA880" i="22"/>
  <c r="Z880" i="22"/>
  <c r="Y880" i="22"/>
  <c r="X880" i="22"/>
  <c r="W880" i="22"/>
  <c r="AO879" i="22"/>
  <c r="AB879" i="22"/>
  <c r="AA879" i="22"/>
  <c r="Z879" i="22"/>
  <c r="Y879" i="22"/>
  <c r="X879" i="22"/>
  <c r="W879" i="22"/>
  <c r="AO878" i="22"/>
  <c r="AB878" i="22"/>
  <c r="AA878" i="22"/>
  <c r="Z878" i="22"/>
  <c r="Y878" i="22"/>
  <c r="X878" i="22"/>
  <c r="W878" i="22"/>
  <c r="AO877" i="22"/>
  <c r="AB877" i="22"/>
  <c r="AA877" i="22"/>
  <c r="Z877" i="22"/>
  <c r="Y877" i="22"/>
  <c r="X877" i="22"/>
  <c r="W877" i="22"/>
  <c r="AO876" i="22"/>
  <c r="AB876" i="22"/>
  <c r="AA876" i="22"/>
  <c r="Z876" i="22"/>
  <c r="Y876" i="22"/>
  <c r="X876" i="22"/>
  <c r="W876" i="22"/>
  <c r="AO875" i="22"/>
  <c r="AB875" i="22"/>
  <c r="AA875" i="22"/>
  <c r="Z875" i="22"/>
  <c r="Y875" i="22"/>
  <c r="X875" i="22"/>
  <c r="W875" i="22"/>
  <c r="AO874" i="22"/>
  <c r="AB874" i="22"/>
  <c r="AA874" i="22"/>
  <c r="Z874" i="22"/>
  <c r="Y874" i="22"/>
  <c r="X874" i="22"/>
  <c r="W874" i="22"/>
  <c r="B874" i="22"/>
  <c r="A874" i="22"/>
  <c r="AO873" i="22"/>
  <c r="AB873" i="22"/>
  <c r="AA873" i="22"/>
  <c r="Z873" i="22"/>
  <c r="Y873" i="22"/>
  <c r="X873" i="22"/>
  <c r="W873" i="22"/>
  <c r="K873" i="22"/>
  <c r="J873" i="22"/>
  <c r="I873" i="22"/>
  <c r="AO872" i="22"/>
  <c r="AB872" i="22"/>
  <c r="AA872" i="22"/>
  <c r="Z872" i="22"/>
  <c r="Y872" i="22"/>
  <c r="X872" i="22"/>
  <c r="W872" i="22"/>
  <c r="K872" i="22"/>
  <c r="J872" i="22"/>
  <c r="I872" i="22"/>
  <c r="AO871" i="22"/>
  <c r="AB871" i="22"/>
  <c r="AA871" i="22"/>
  <c r="Z871" i="22"/>
  <c r="Y871" i="22"/>
  <c r="X871" i="22"/>
  <c r="W871" i="22"/>
  <c r="K871" i="22"/>
  <c r="J871" i="22"/>
  <c r="I871" i="22"/>
  <c r="AO870" i="22"/>
  <c r="AB870" i="22"/>
  <c r="AA870" i="22"/>
  <c r="Z870" i="22"/>
  <c r="Y870" i="22"/>
  <c r="X870" i="22"/>
  <c r="W870" i="22"/>
  <c r="K870" i="22"/>
  <c r="J870" i="22"/>
  <c r="I870" i="22"/>
  <c r="AO869" i="22"/>
  <c r="AB869" i="22"/>
  <c r="AA869" i="22"/>
  <c r="Z869" i="22"/>
  <c r="Y869" i="22"/>
  <c r="X869" i="22"/>
  <c r="W869" i="22"/>
  <c r="K869" i="22"/>
  <c r="J869" i="22"/>
  <c r="I869" i="22"/>
  <c r="AO868" i="22"/>
  <c r="AB868" i="22"/>
  <c r="AA868" i="22"/>
  <c r="Z868" i="22"/>
  <c r="Y868" i="22"/>
  <c r="X868" i="22"/>
  <c r="W868" i="22"/>
  <c r="K868" i="22"/>
  <c r="J868" i="22"/>
  <c r="I868" i="22"/>
  <c r="AO867" i="22"/>
  <c r="AB867" i="22"/>
  <c r="AA867" i="22"/>
  <c r="Z867" i="22"/>
  <c r="Y867" i="22"/>
  <c r="X867" i="22"/>
  <c r="W867" i="22"/>
  <c r="K867" i="22"/>
  <c r="J867" i="22"/>
  <c r="I867" i="22"/>
  <c r="AO866" i="22"/>
  <c r="AB866" i="22"/>
  <c r="AA866" i="22"/>
  <c r="Z866" i="22"/>
  <c r="Y866" i="22"/>
  <c r="X866" i="22"/>
  <c r="W866" i="22"/>
  <c r="K866" i="22"/>
  <c r="J866" i="22"/>
  <c r="I866" i="22"/>
  <c r="AO865" i="22"/>
  <c r="AB865" i="22"/>
  <c r="AA865" i="22"/>
  <c r="Z865" i="22"/>
  <c r="Y865" i="22"/>
  <c r="X865" i="22"/>
  <c r="W865" i="22"/>
  <c r="K865" i="22"/>
  <c r="J865" i="22"/>
  <c r="I865" i="22"/>
  <c r="AO864" i="22"/>
  <c r="AB864" i="22"/>
  <c r="AA864" i="22"/>
  <c r="Z864" i="22"/>
  <c r="Y864" i="22"/>
  <c r="X864" i="22"/>
  <c r="W864" i="22"/>
  <c r="K864" i="22"/>
  <c r="J864" i="22"/>
  <c r="I864" i="22"/>
  <c r="AO863" i="22"/>
  <c r="AB863" i="22"/>
  <c r="AA863" i="22"/>
  <c r="Z863" i="22"/>
  <c r="Y863" i="22"/>
  <c r="X863" i="22"/>
  <c r="W863" i="22"/>
  <c r="K863" i="22"/>
  <c r="J863" i="22"/>
  <c r="I863" i="22"/>
  <c r="AO862" i="22"/>
  <c r="AB862" i="22"/>
  <c r="AA862" i="22"/>
  <c r="Z862" i="22"/>
  <c r="Y862" i="22"/>
  <c r="X862" i="22"/>
  <c r="W862" i="22"/>
  <c r="K862" i="22"/>
  <c r="J862" i="22"/>
  <c r="I862" i="22"/>
  <c r="AO849" i="22"/>
  <c r="AB849" i="22"/>
  <c r="AA849" i="22"/>
  <c r="Z849" i="22"/>
  <c r="Y849" i="22"/>
  <c r="X849" i="22"/>
  <c r="W849" i="22"/>
  <c r="AO848" i="22"/>
  <c r="AB848" i="22"/>
  <c r="AA848" i="22"/>
  <c r="Z848" i="22"/>
  <c r="Y848" i="22"/>
  <c r="X848" i="22"/>
  <c r="W848" i="22"/>
  <c r="AO847" i="22"/>
  <c r="AB847" i="22"/>
  <c r="AA847" i="22"/>
  <c r="Z847" i="22"/>
  <c r="Y847" i="22"/>
  <c r="X847" i="22"/>
  <c r="W847" i="22"/>
  <c r="AO846" i="22"/>
  <c r="AB846" i="22"/>
  <c r="AA846" i="22"/>
  <c r="Z846" i="22"/>
  <c r="Y846" i="22"/>
  <c r="X846" i="22"/>
  <c r="W846" i="22"/>
  <c r="AO845" i="22"/>
  <c r="AB845" i="22"/>
  <c r="AA845" i="22"/>
  <c r="Z845" i="22"/>
  <c r="Y845" i="22"/>
  <c r="X845" i="22"/>
  <c r="W845" i="22"/>
  <c r="AO844" i="22"/>
  <c r="AB844" i="22"/>
  <c r="AA844" i="22"/>
  <c r="Z844" i="22"/>
  <c r="Y844" i="22"/>
  <c r="X844" i="22"/>
  <c r="W844" i="22"/>
  <c r="AO843" i="22"/>
  <c r="AB843" i="22"/>
  <c r="AA843" i="22"/>
  <c r="Z843" i="22"/>
  <c r="Y843" i="22"/>
  <c r="X843" i="22"/>
  <c r="W843" i="22"/>
  <c r="AO842" i="22"/>
  <c r="AB842" i="22"/>
  <c r="AA842" i="22"/>
  <c r="Z842" i="22"/>
  <c r="Y842" i="22"/>
  <c r="X842" i="22"/>
  <c r="W842" i="22"/>
  <c r="AO841" i="22"/>
  <c r="AB841" i="22"/>
  <c r="AA841" i="22"/>
  <c r="Z841" i="22"/>
  <c r="Y841" i="22"/>
  <c r="X841" i="22"/>
  <c r="W841" i="22"/>
  <c r="AO840" i="22"/>
  <c r="AB840" i="22"/>
  <c r="AA840" i="22"/>
  <c r="Z840" i="22"/>
  <c r="Y840" i="22"/>
  <c r="X840" i="22"/>
  <c r="W840" i="22"/>
  <c r="AO839" i="22"/>
  <c r="AB839" i="22"/>
  <c r="AA839" i="22"/>
  <c r="Z839" i="22"/>
  <c r="Y839" i="22"/>
  <c r="X839" i="22"/>
  <c r="W839" i="22"/>
  <c r="AO838" i="22"/>
  <c r="AB838" i="22"/>
  <c r="AA838" i="22"/>
  <c r="Z838" i="22"/>
  <c r="Y838" i="22"/>
  <c r="X838" i="22"/>
  <c r="W838" i="22"/>
  <c r="B838" i="22"/>
  <c r="A838" i="22"/>
  <c r="AO837" i="22"/>
  <c r="AB837" i="22"/>
  <c r="AA837" i="22"/>
  <c r="Z837" i="22"/>
  <c r="Y837" i="22"/>
  <c r="X837" i="22"/>
  <c r="W837" i="22"/>
  <c r="AO836" i="22"/>
  <c r="AB836" i="22"/>
  <c r="AA836" i="22"/>
  <c r="Z836" i="22"/>
  <c r="Y836" i="22"/>
  <c r="X836" i="22"/>
  <c r="W836" i="22"/>
  <c r="AO835" i="22"/>
  <c r="AB835" i="22"/>
  <c r="AA835" i="22"/>
  <c r="Z835" i="22"/>
  <c r="Y835" i="22"/>
  <c r="X835" i="22"/>
  <c r="W835" i="22"/>
  <c r="AO834" i="22"/>
  <c r="AB834" i="22"/>
  <c r="AA834" i="22"/>
  <c r="Z834" i="22"/>
  <c r="Y834" i="22"/>
  <c r="X834" i="22"/>
  <c r="W834" i="22"/>
  <c r="AO833" i="22"/>
  <c r="AB833" i="22"/>
  <c r="AA833" i="22"/>
  <c r="Z833" i="22"/>
  <c r="Y833" i="22"/>
  <c r="X833" i="22"/>
  <c r="W833" i="22"/>
  <c r="AO832" i="22"/>
  <c r="AB832" i="22"/>
  <c r="AA832" i="22"/>
  <c r="Z832" i="22"/>
  <c r="Y832" i="22"/>
  <c r="X832" i="22"/>
  <c r="W832" i="22"/>
  <c r="AO831" i="22"/>
  <c r="AB831" i="22"/>
  <c r="AA831" i="22"/>
  <c r="Z831" i="22"/>
  <c r="Y831" i="22"/>
  <c r="X831" i="22"/>
  <c r="W831" i="22"/>
  <c r="AO830" i="22"/>
  <c r="AB830" i="22"/>
  <c r="AA830" i="22"/>
  <c r="Z830" i="22"/>
  <c r="Y830" i="22"/>
  <c r="X830" i="22"/>
  <c r="W830" i="22"/>
  <c r="AO829" i="22"/>
  <c r="AB829" i="22"/>
  <c r="AA829" i="22"/>
  <c r="Z829" i="22"/>
  <c r="Y829" i="22"/>
  <c r="X829" i="22"/>
  <c r="W829" i="22"/>
  <c r="AO828" i="22"/>
  <c r="AB828" i="22"/>
  <c r="AA828" i="22"/>
  <c r="Z828" i="22"/>
  <c r="Y828" i="22"/>
  <c r="X828" i="22"/>
  <c r="W828" i="22"/>
  <c r="AO827" i="22"/>
  <c r="AB827" i="22"/>
  <c r="AA827" i="22"/>
  <c r="Z827" i="22"/>
  <c r="Y827" i="22"/>
  <c r="X827" i="22"/>
  <c r="W827" i="22"/>
  <c r="AO826" i="22"/>
  <c r="AB826" i="22"/>
  <c r="AA826" i="22"/>
  <c r="Z826" i="22"/>
  <c r="Y826" i="22"/>
  <c r="X826" i="22"/>
  <c r="W826" i="22"/>
  <c r="B826" i="22"/>
  <c r="A826" i="22"/>
  <c r="AO825" i="22"/>
  <c r="AB825" i="22"/>
  <c r="AA825" i="22"/>
  <c r="Z825" i="22"/>
  <c r="Y825" i="22"/>
  <c r="X825" i="22"/>
  <c r="W825" i="22"/>
  <c r="K825" i="22"/>
  <c r="J825" i="22"/>
  <c r="I825" i="22"/>
  <c r="AO824" i="22"/>
  <c r="AB824" i="22"/>
  <c r="AA824" i="22"/>
  <c r="Z824" i="22"/>
  <c r="Y824" i="22"/>
  <c r="X824" i="22"/>
  <c r="W824" i="22"/>
  <c r="K824" i="22"/>
  <c r="J824" i="22"/>
  <c r="I824" i="22"/>
  <c r="AO823" i="22"/>
  <c r="AB823" i="22"/>
  <c r="AA823" i="22"/>
  <c r="Z823" i="22"/>
  <c r="Y823" i="22"/>
  <c r="X823" i="22"/>
  <c r="W823" i="22"/>
  <c r="K823" i="22"/>
  <c r="J823" i="22"/>
  <c r="I823" i="22"/>
  <c r="AO822" i="22"/>
  <c r="AB822" i="22"/>
  <c r="AA822" i="22"/>
  <c r="Z822" i="22"/>
  <c r="Y822" i="22"/>
  <c r="X822" i="22"/>
  <c r="W822" i="22"/>
  <c r="K822" i="22"/>
  <c r="J822" i="22"/>
  <c r="I822" i="22"/>
  <c r="AO821" i="22"/>
  <c r="AB821" i="22"/>
  <c r="AA821" i="22"/>
  <c r="Z821" i="22"/>
  <c r="Y821" i="22"/>
  <c r="X821" i="22"/>
  <c r="W821" i="22"/>
  <c r="K821" i="22"/>
  <c r="J821" i="22"/>
  <c r="I821" i="22"/>
  <c r="AO820" i="22"/>
  <c r="AB820" i="22"/>
  <c r="AA820" i="22"/>
  <c r="Z820" i="22"/>
  <c r="Y820" i="22"/>
  <c r="X820" i="22"/>
  <c r="W820" i="22"/>
  <c r="K820" i="22"/>
  <c r="J820" i="22"/>
  <c r="I820" i="22"/>
  <c r="AO819" i="22"/>
  <c r="AB819" i="22"/>
  <c r="AA819" i="22"/>
  <c r="Z819" i="22"/>
  <c r="Y819" i="22"/>
  <c r="X819" i="22"/>
  <c r="W819" i="22"/>
  <c r="K819" i="22"/>
  <c r="J819" i="22"/>
  <c r="I819" i="22"/>
  <c r="AO818" i="22"/>
  <c r="AB818" i="22"/>
  <c r="AA818" i="22"/>
  <c r="Z818" i="22"/>
  <c r="Y818" i="22"/>
  <c r="X818" i="22"/>
  <c r="W818" i="22"/>
  <c r="K818" i="22"/>
  <c r="J818" i="22"/>
  <c r="I818" i="22"/>
  <c r="AO817" i="22"/>
  <c r="AB817" i="22"/>
  <c r="AA817" i="22"/>
  <c r="Z817" i="22"/>
  <c r="Y817" i="22"/>
  <c r="X817" i="22"/>
  <c r="W817" i="22"/>
  <c r="K817" i="22"/>
  <c r="J817" i="22"/>
  <c r="I817" i="22"/>
  <c r="AO816" i="22"/>
  <c r="AB816" i="22"/>
  <c r="AA816" i="22"/>
  <c r="Z816" i="22"/>
  <c r="Y816" i="22"/>
  <c r="X816" i="22"/>
  <c r="W816" i="22"/>
  <c r="K816" i="22"/>
  <c r="J816" i="22"/>
  <c r="I816" i="22"/>
  <c r="AO815" i="22"/>
  <c r="AB815" i="22"/>
  <c r="AA815" i="22"/>
  <c r="Z815" i="22"/>
  <c r="Y815" i="22"/>
  <c r="X815" i="22"/>
  <c r="W815" i="22"/>
  <c r="K815" i="22"/>
  <c r="J815" i="22"/>
  <c r="I815" i="22"/>
  <c r="AB814" i="22"/>
  <c r="AA814" i="22"/>
  <c r="Z814" i="22"/>
  <c r="Y814" i="22"/>
  <c r="X814" i="22"/>
  <c r="W814" i="22"/>
  <c r="K814" i="22"/>
  <c r="J814" i="22"/>
  <c r="I814" i="22"/>
  <c r="B814" i="22"/>
  <c r="A814" i="22"/>
  <c r="AO777" i="22"/>
  <c r="AB777" i="22"/>
  <c r="AA777" i="22"/>
  <c r="Z777" i="22"/>
  <c r="Y777" i="22"/>
  <c r="X777" i="22"/>
  <c r="W777" i="22"/>
  <c r="AO776" i="22"/>
  <c r="AB776" i="22"/>
  <c r="AA776" i="22"/>
  <c r="Z776" i="22"/>
  <c r="Y776" i="22"/>
  <c r="X776" i="22"/>
  <c r="W776" i="22"/>
  <c r="AO775" i="22"/>
  <c r="AB775" i="22"/>
  <c r="AA775" i="22"/>
  <c r="Z775" i="22"/>
  <c r="Y775" i="22"/>
  <c r="X775" i="22"/>
  <c r="W775" i="22"/>
  <c r="AO774" i="22"/>
  <c r="AB774" i="22"/>
  <c r="AA774" i="22"/>
  <c r="Z774" i="22"/>
  <c r="Y774" i="22"/>
  <c r="X774" i="22"/>
  <c r="W774" i="22"/>
  <c r="AO773" i="22"/>
  <c r="AB773" i="22"/>
  <c r="AA773" i="22"/>
  <c r="Z773" i="22"/>
  <c r="Y773" i="22"/>
  <c r="X773" i="22"/>
  <c r="W773" i="22"/>
  <c r="AO772" i="22"/>
  <c r="AB772" i="22"/>
  <c r="AA772" i="22"/>
  <c r="Z772" i="22"/>
  <c r="Y772" i="22"/>
  <c r="X772" i="22"/>
  <c r="W772" i="22"/>
  <c r="AO771" i="22"/>
  <c r="AB771" i="22"/>
  <c r="AA771" i="22"/>
  <c r="Z771" i="22"/>
  <c r="Y771" i="22"/>
  <c r="X771" i="22"/>
  <c r="W771" i="22"/>
  <c r="AO770" i="22"/>
  <c r="AB770" i="22"/>
  <c r="AA770" i="22"/>
  <c r="Z770" i="22"/>
  <c r="Y770" i="22"/>
  <c r="X770" i="22"/>
  <c r="W770" i="22"/>
  <c r="AO769" i="22"/>
  <c r="AB769" i="22"/>
  <c r="AA769" i="22"/>
  <c r="Z769" i="22"/>
  <c r="Y769" i="22"/>
  <c r="X769" i="22"/>
  <c r="W769" i="22"/>
  <c r="AO768" i="22"/>
  <c r="AB768" i="22"/>
  <c r="AA768" i="22"/>
  <c r="Z768" i="22"/>
  <c r="Y768" i="22"/>
  <c r="X768" i="22"/>
  <c r="W768" i="22"/>
  <c r="AO767" i="22"/>
  <c r="AB767" i="22"/>
  <c r="AA767" i="22"/>
  <c r="Z767" i="22"/>
  <c r="Y767" i="22"/>
  <c r="X767" i="22"/>
  <c r="W767" i="22"/>
  <c r="AO766" i="22"/>
  <c r="AB766" i="22"/>
  <c r="AA766" i="22"/>
  <c r="Z766" i="22"/>
  <c r="Y766" i="22"/>
  <c r="X766" i="22"/>
  <c r="W766" i="22"/>
  <c r="A766" i="22"/>
  <c r="AO753" i="22"/>
  <c r="AB753" i="22"/>
  <c r="AA753" i="22"/>
  <c r="Z753" i="22"/>
  <c r="Y753" i="22"/>
  <c r="X753" i="22"/>
  <c r="W753" i="22"/>
  <c r="K753" i="22"/>
  <c r="J753" i="22"/>
  <c r="AO752" i="22"/>
  <c r="AB752" i="22"/>
  <c r="AA752" i="22"/>
  <c r="Z752" i="22"/>
  <c r="Y752" i="22"/>
  <c r="X752" i="22"/>
  <c r="W752" i="22"/>
  <c r="K752" i="22"/>
  <c r="J752" i="22"/>
  <c r="I752" i="22"/>
  <c r="AO751" i="22"/>
  <c r="AB751" i="22"/>
  <c r="AA751" i="22"/>
  <c r="Z751" i="22"/>
  <c r="Y751" i="22"/>
  <c r="X751" i="22"/>
  <c r="W751" i="22"/>
  <c r="K751" i="22"/>
  <c r="J751" i="22"/>
  <c r="I751" i="22"/>
  <c r="AO750" i="22"/>
  <c r="AB750" i="22"/>
  <c r="AA750" i="22"/>
  <c r="Z750" i="22"/>
  <c r="Y750" i="22"/>
  <c r="X750" i="22"/>
  <c r="W750" i="22"/>
  <c r="K750" i="22"/>
  <c r="J750" i="22"/>
  <c r="I750" i="22"/>
  <c r="AO749" i="22"/>
  <c r="AB749" i="22"/>
  <c r="AA749" i="22"/>
  <c r="Z749" i="22"/>
  <c r="Y749" i="22"/>
  <c r="X749" i="22"/>
  <c r="W749" i="22"/>
  <c r="K749" i="22"/>
  <c r="J749" i="22"/>
  <c r="I749" i="22"/>
  <c r="AO748" i="22"/>
  <c r="AB748" i="22"/>
  <c r="AA748" i="22"/>
  <c r="Z748" i="22"/>
  <c r="Y748" i="22"/>
  <c r="X748" i="22"/>
  <c r="W748" i="22"/>
  <c r="K748" i="22"/>
  <c r="J748" i="22"/>
  <c r="I748" i="22"/>
  <c r="AO747" i="22"/>
  <c r="AB747" i="22"/>
  <c r="AA747" i="22"/>
  <c r="Z747" i="22"/>
  <c r="Y747" i="22"/>
  <c r="X747" i="22"/>
  <c r="W747" i="22"/>
  <c r="K747" i="22"/>
  <c r="J747" i="22"/>
  <c r="I747" i="22"/>
  <c r="AO746" i="22"/>
  <c r="AB746" i="22"/>
  <c r="AA746" i="22"/>
  <c r="Z746" i="22"/>
  <c r="Y746" i="22"/>
  <c r="X746" i="22"/>
  <c r="W746" i="22"/>
  <c r="K746" i="22"/>
  <c r="J746" i="22"/>
  <c r="I746" i="22"/>
  <c r="AO745" i="22"/>
  <c r="AB745" i="22"/>
  <c r="AA745" i="22"/>
  <c r="Z745" i="22"/>
  <c r="Y745" i="22"/>
  <c r="X745" i="22"/>
  <c r="W745" i="22"/>
  <c r="K745" i="22"/>
  <c r="J745" i="22"/>
  <c r="I745" i="22"/>
  <c r="AO744" i="22"/>
  <c r="AB744" i="22"/>
  <c r="AA744" i="22"/>
  <c r="Z744" i="22"/>
  <c r="Y744" i="22"/>
  <c r="X744" i="22"/>
  <c r="W744" i="22"/>
  <c r="K744" i="22"/>
  <c r="J744" i="22"/>
  <c r="I744" i="22"/>
  <c r="AO743" i="22"/>
  <c r="AB743" i="22"/>
  <c r="AA743" i="22"/>
  <c r="Z743" i="22"/>
  <c r="Y743" i="22"/>
  <c r="X743" i="22"/>
  <c r="W743" i="22"/>
  <c r="K743" i="22"/>
  <c r="J743" i="22"/>
  <c r="I743" i="22"/>
  <c r="AO742" i="22"/>
  <c r="AB742" i="22"/>
  <c r="AA742" i="22"/>
  <c r="Z742" i="22"/>
  <c r="Y742" i="22"/>
  <c r="X742" i="22"/>
  <c r="W742" i="22"/>
  <c r="K742" i="22"/>
  <c r="J742" i="22"/>
  <c r="I742" i="22"/>
  <c r="AO729" i="22"/>
  <c r="AB729" i="22"/>
  <c r="AA729" i="22"/>
  <c r="Z729" i="22"/>
  <c r="Y729" i="22"/>
  <c r="X729" i="22"/>
  <c r="W729" i="22"/>
  <c r="AO728" i="22"/>
  <c r="AB728" i="22"/>
  <c r="AA728" i="22"/>
  <c r="Z728" i="22"/>
  <c r="Y728" i="22"/>
  <c r="X728" i="22"/>
  <c r="W728" i="22"/>
  <c r="AO727" i="22"/>
  <c r="AB727" i="22"/>
  <c r="AA727" i="22"/>
  <c r="Z727" i="22"/>
  <c r="Y727" i="22"/>
  <c r="X727" i="22"/>
  <c r="W727" i="22"/>
  <c r="AO726" i="22"/>
  <c r="AB726" i="22"/>
  <c r="AA726" i="22"/>
  <c r="Z726" i="22"/>
  <c r="Y726" i="22"/>
  <c r="X726" i="22"/>
  <c r="W726" i="22"/>
  <c r="AO725" i="22"/>
  <c r="AB725" i="22"/>
  <c r="AA725" i="22"/>
  <c r="Z725" i="22"/>
  <c r="Y725" i="22"/>
  <c r="X725" i="22"/>
  <c r="W725" i="22"/>
  <c r="AO724" i="22"/>
  <c r="AB724" i="22"/>
  <c r="AA724" i="22"/>
  <c r="Z724" i="22"/>
  <c r="Y724" i="22"/>
  <c r="X724" i="22"/>
  <c r="W724" i="22"/>
  <c r="AO723" i="22"/>
  <c r="AB723" i="22"/>
  <c r="AA723" i="22"/>
  <c r="Z723" i="22"/>
  <c r="Y723" i="22"/>
  <c r="X723" i="22"/>
  <c r="W723" i="22"/>
  <c r="AO722" i="22"/>
  <c r="AB722" i="22"/>
  <c r="AA722" i="22"/>
  <c r="Z722" i="22"/>
  <c r="Y722" i="22"/>
  <c r="X722" i="22"/>
  <c r="W722" i="22"/>
  <c r="AO721" i="22"/>
  <c r="AB721" i="22"/>
  <c r="AA721" i="22"/>
  <c r="Z721" i="22"/>
  <c r="Y721" i="22"/>
  <c r="X721" i="22"/>
  <c r="W721" i="22"/>
  <c r="AO720" i="22"/>
  <c r="AB720" i="22"/>
  <c r="AA720" i="22"/>
  <c r="Z720" i="22"/>
  <c r="Y720" i="22"/>
  <c r="X720" i="22"/>
  <c r="W720" i="22"/>
  <c r="AO719" i="22"/>
  <c r="AB719" i="22"/>
  <c r="AA719" i="22"/>
  <c r="Z719" i="22"/>
  <c r="Y719" i="22"/>
  <c r="X719" i="22"/>
  <c r="W719" i="22"/>
  <c r="AO718" i="22"/>
  <c r="AB718" i="22"/>
  <c r="AA718" i="22"/>
  <c r="Z718" i="22"/>
  <c r="Y718" i="22"/>
  <c r="X718" i="22"/>
  <c r="W718" i="22"/>
  <c r="B718" i="22"/>
  <c r="A718" i="22"/>
  <c r="K717" i="22"/>
  <c r="J717" i="22"/>
  <c r="I717" i="22"/>
  <c r="K716" i="22"/>
  <c r="J716" i="22"/>
  <c r="I716" i="22"/>
  <c r="K715" i="22"/>
  <c r="J715" i="22"/>
  <c r="I715" i="22"/>
  <c r="K714" i="22"/>
  <c r="J714" i="22"/>
  <c r="I714" i="22"/>
  <c r="K713" i="22"/>
  <c r="J713" i="22"/>
  <c r="I713" i="22"/>
  <c r="K712" i="22"/>
  <c r="J712" i="22"/>
  <c r="I712" i="22"/>
  <c r="K711" i="22"/>
  <c r="J711" i="22"/>
  <c r="I711" i="22"/>
  <c r="K710" i="22"/>
  <c r="J710" i="22"/>
  <c r="I710" i="22"/>
  <c r="K709" i="22"/>
  <c r="J709" i="22"/>
  <c r="I709" i="22"/>
  <c r="K708" i="22"/>
  <c r="J708" i="22"/>
  <c r="I708" i="22"/>
  <c r="K707" i="22"/>
  <c r="J707" i="22"/>
  <c r="I707" i="22"/>
  <c r="K706" i="22"/>
  <c r="J706" i="22"/>
  <c r="I706" i="22"/>
  <c r="AO717" i="22"/>
  <c r="AB717" i="22"/>
  <c r="AA717" i="22"/>
  <c r="Z717" i="22"/>
  <c r="Y717" i="22"/>
  <c r="X717" i="22"/>
  <c r="W717" i="22"/>
  <c r="AO716" i="22"/>
  <c r="AB716" i="22"/>
  <c r="AA716" i="22"/>
  <c r="Z716" i="22"/>
  <c r="Y716" i="22"/>
  <c r="X716" i="22"/>
  <c r="W716" i="22"/>
  <c r="AO715" i="22"/>
  <c r="AB715" i="22"/>
  <c r="AA715" i="22"/>
  <c r="Z715" i="22"/>
  <c r="Y715" i="22"/>
  <c r="X715" i="22"/>
  <c r="W715" i="22"/>
  <c r="AO714" i="22"/>
  <c r="AB714" i="22"/>
  <c r="AA714" i="22"/>
  <c r="Z714" i="22"/>
  <c r="Y714" i="22"/>
  <c r="X714" i="22"/>
  <c r="W714" i="22"/>
  <c r="AO713" i="22"/>
  <c r="AB713" i="22"/>
  <c r="AA713" i="22"/>
  <c r="Z713" i="22"/>
  <c r="Y713" i="22"/>
  <c r="X713" i="22"/>
  <c r="W713" i="22"/>
  <c r="AO712" i="22"/>
  <c r="AB712" i="22"/>
  <c r="AA712" i="22"/>
  <c r="Z712" i="22"/>
  <c r="Y712" i="22"/>
  <c r="X712" i="22"/>
  <c r="W712" i="22"/>
  <c r="AO711" i="22"/>
  <c r="AB711" i="22"/>
  <c r="AA711" i="22"/>
  <c r="Z711" i="22"/>
  <c r="Y711" i="22"/>
  <c r="X711" i="22"/>
  <c r="W711" i="22"/>
  <c r="AO710" i="22"/>
  <c r="AB710" i="22"/>
  <c r="AA710" i="22"/>
  <c r="Z710" i="22"/>
  <c r="Y710" i="22"/>
  <c r="X710" i="22"/>
  <c r="W710" i="22"/>
  <c r="AO709" i="22"/>
  <c r="AB709" i="22"/>
  <c r="AA709" i="22"/>
  <c r="Z709" i="22"/>
  <c r="Y709" i="22"/>
  <c r="X709" i="22"/>
  <c r="W709" i="22"/>
  <c r="AO708" i="22"/>
  <c r="AB708" i="22"/>
  <c r="AA708" i="22"/>
  <c r="Z708" i="22"/>
  <c r="Y708" i="22"/>
  <c r="X708" i="22"/>
  <c r="W708" i="22"/>
  <c r="AO707" i="22"/>
  <c r="AB707" i="22"/>
  <c r="AA707" i="22"/>
  <c r="Z707" i="22"/>
  <c r="Y707" i="22"/>
  <c r="X707" i="22"/>
  <c r="W707" i="22"/>
  <c r="AO706" i="22"/>
  <c r="AB706" i="22"/>
  <c r="AA706" i="22"/>
  <c r="Z706" i="22"/>
  <c r="Y706" i="22"/>
  <c r="X706" i="22"/>
  <c r="W706" i="22"/>
  <c r="AO705" i="22"/>
  <c r="AB705" i="22"/>
  <c r="AA705" i="22"/>
  <c r="Z705" i="22"/>
  <c r="Y705" i="22"/>
  <c r="X705" i="22"/>
  <c r="W705" i="22"/>
  <c r="AO704" i="22"/>
  <c r="AB704" i="22"/>
  <c r="AA704" i="22"/>
  <c r="Z704" i="22"/>
  <c r="Y704" i="22"/>
  <c r="X704" i="22"/>
  <c r="W704" i="22"/>
  <c r="AO703" i="22"/>
  <c r="AB703" i="22"/>
  <c r="AA703" i="22"/>
  <c r="Z703" i="22"/>
  <c r="Y703" i="22"/>
  <c r="X703" i="22"/>
  <c r="W703" i="22"/>
  <c r="AO702" i="22"/>
  <c r="AB702" i="22"/>
  <c r="AA702" i="22"/>
  <c r="Z702" i="22"/>
  <c r="Y702" i="22"/>
  <c r="X702" i="22"/>
  <c r="W702" i="22"/>
  <c r="AO701" i="22"/>
  <c r="AB701" i="22"/>
  <c r="AA701" i="22"/>
  <c r="Z701" i="22"/>
  <c r="Y701" i="22"/>
  <c r="X701" i="22"/>
  <c r="W701" i="22"/>
  <c r="AO700" i="22"/>
  <c r="AB700" i="22"/>
  <c r="AA700" i="22"/>
  <c r="Z700" i="22"/>
  <c r="Y700" i="22"/>
  <c r="X700" i="22"/>
  <c r="W700" i="22"/>
  <c r="AO699" i="22"/>
  <c r="AB699" i="22"/>
  <c r="AA699" i="22"/>
  <c r="Z699" i="22"/>
  <c r="Y699" i="22"/>
  <c r="X699" i="22"/>
  <c r="W699" i="22"/>
  <c r="AO698" i="22"/>
  <c r="AB698" i="22"/>
  <c r="AA698" i="22"/>
  <c r="Z698" i="22"/>
  <c r="Y698" i="22"/>
  <c r="X698" i="22"/>
  <c r="W698" i="22"/>
  <c r="AO697" i="22"/>
  <c r="AB697" i="22"/>
  <c r="AA697" i="22"/>
  <c r="Z697" i="22"/>
  <c r="Y697" i="22"/>
  <c r="X697" i="22"/>
  <c r="W697" i="22"/>
  <c r="AO696" i="22"/>
  <c r="AB696" i="22"/>
  <c r="AA696" i="22"/>
  <c r="Z696" i="22"/>
  <c r="Y696" i="22"/>
  <c r="X696" i="22"/>
  <c r="W696" i="22"/>
  <c r="AO695" i="22"/>
  <c r="AB695" i="22"/>
  <c r="AA695" i="22"/>
  <c r="Z695" i="22"/>
  <c r="Y695" i="22"/>
  <c r="X695" i="22"/>
  <c r="W695" i="22"/>
  <c r="AO694" i="22"/>
  <c r="AB694" i="22"/>
  <c r="AA694" i="22"/>
  <c r="Z694" i="22"/>
  <c r="Y694" i="22"/>
  <c r="X694" i="22"/>
  <c r="W694" i="22"/>
  <c r="B694" i="22"/>
  <c r="A694" i="22"/>
  <c r="AO693" i="22"/>
  <c r="AB693" i="22"/>
  <c r="AA693" i="22"/>
  <c r="Z693" i="22"/>
  <c r="Y693" i="22"/>
  <c r="X693" i="22"/>
  <c r="W693" i="22"/>
  <c r="K693" i="22"/>
  <c r="J693" i="22"/>
  <c r="I693" i="22"/>
  <c r="AO692" i="22"/>
  <c r="AB692" i="22"/>
  <c r="AA692" i="22"/>
  <c r="Z692" i="22"/>
  <c r="Y692" i="22"/>
  <c r="X692" i="22"/>
  <c r="W692" i="22"/>
  <c r="K692" i="22"/>
  <c r="J692" i="22"/>
  <c r="I692" i="22"/>
  <c r="AO691" i="22"/>
  <c r="AB691" i="22"/>
  <c r="AA691" i="22"/>
  <c r="Z691" i="22"/>
  <c r="Y691" i="22"/>
  <c r="X691" i="22"/>
  <c r="W691" i="22"/>
  <c r="K691" i="22"/>
  <c r="J691" i="22"/>
  <c r="I691" i="22"/>
  <c r="AO690" i="22"/>
  <c r="AB690" i="22"/>
  <c r="AA690" i="22"/>
  <c r="Z690" i="22"/>
  <c r="Y690" i="22"/>
  <c r="X690" i="22"/>
  <c r="W690" i="22"/>
  <c r="K690" i="22"/>
  <c r="J690" i="22"/>
  <c r="I690" i="22"/>
  <c r="AO689" i="22"/>
  <c r="AB689" i="22"/>
  <c r="AA689" i="22"/>
  <c r="Z689" i="22"/>
  <c r="Y689" i="22"/>
  <c r="X689" i="22"/>
  <c r="W689" i="22"/>
  <c r="K689" i="22"/>
  <c r="J689" i="22"/>
  <c r="I689" i="22"/>
  <c r="AO688" i="22"/>
  <c r="AB688" i="22"/>
  <c r="AA688" i="22"/>
  <c r="Z688" i="22"/>
  <c r="Y688" i="22"/>
  <c r="X688" i="22"/>
  <c r="W688" i="22"/>
  <c r="K688" i="22"/>
  <c r="J688" i="22"/>
  <c r="I688" i="22"/>
  <c r="AO687" i="22"/>
  <c r="AB687" i="22"/>
  <c r="AA687" i="22"/>
  <c r="Z687" i="22"/>
  <c r="Y687" i="22"/>
  <c r="X687" i="22"/>
  <c r="W687" i="22"/>
  <c r="K687" i="22"/>
  <c r="J687" i="22"/>
  <c r="I687" i="22"/>
  <c r="AO686" i="22"/>
  <c r="AB686" i="22"/>
  <c r="AA686" i="22"/>
  <c r="Z686" i="22"/>
  <c r="Y686" i="22"/>
  <c r="X686" i="22"/>
  <c r="W686" i="22"/>
  <c r="K686" i="22"/>
  <c r="J686" i="22"/>
  <c r="I686" i="22"/>
  <c r="AO685" i="22"/>
  <c r="AB685" i="22"/>
  <c r="AA685" i="22"/>
  <c r="Z685" i="22"/>
  <c r="Y685" i="22"/>
  <c r="X685" i="22"/>
  <c r="W685" i="22"/>
  <c r="K685" i="22"/>
  <c r="J685" i="22"/>
  <c r="I685" i="22"/>
  <c r="AO684" i="22"/>
  <c r="AB684" i="22"/>
  <c r="AA684" i="22"/>
  <c r="Z684" i="22"/>
  <c r="Y684" i="22"/>
  <c r="X684" i="22"/>
  <c r="W684" i="22"/>
  <c r="K684" i="22"/>
  <c r="J684" i="22"/>
  <c r="I684" i="22"/>
  <c r="AO683" i="22"/>
  <c r="AB683" i="22"/>
  <c r="AA683" i="22"/>
  <c r="Z683" i="22"/>
  <c r="Y683" i="22"/>
  <c r="X683" i="22"/>
  <c r="W683" i="22"/>
  <c r="K683" i="22"/>
  <c r="J683" i="22"/>
  <c r="I683" i="22"/>
  <c r="AO682" i="22"/>
  <c r="AB682" i="22"/>
  <c r="AA682" i="22"/>
  <c r="Z682" i="22"/>
  <c r="Y682" i="22"/>
  <c r="X682" i="22"/>
  <c r="W682" i="22"/>
  <c r="K682" i="22"/>
  <c r="J682" i="22"/>
  <c r="I682" i="22"/>
  <c r="B682" i="22"/>
  <c r="A682" i="22"/>
  <c r="AO681" i="22"/>
  <c r="AB681" i="22"/>
  <c r="AA681" i="22"/>
  <c r="Z681" i="22"/>
  <c r="Y681" i="22"/>
  <c r="X681" i="22"/>
  <c r="W681" i="22"/>
  <c r="AO680" i="22"/>
  <c r="AB680" i="22"/>
  <c r="AA680" i="22"/>
  <c r="Z680" i="22"/>
  <c r="Y680" i="22"/>
  <c r="X680" i="22"/>
  <c r="W680" i="22"/>
  <c r="AO679" i="22"/>
  <c r="AB679" i="22"/>
  <c r="AA679" i="22"/>
  <c r="Z679" i="22"/>
  <c r="Y679" i="22"/>
  <c r="X679" i="22"/>
  <c r="W679" i="22"/>
  <c r="AO678" i="22"/>
  <c r="AB678" i="22"/>
  <c r="AA678" i="22"/>
  <c r="Z678" i="22"/>
  <c r="Y678" i="22"/>
  <c r="X678" i="22"/>
  <c r="W678" i="22"/>
  <c r="AO677" i="22"/>
  <c r="AB677" i="22"/>
  <c r="AA677" i="22"/>
  <c r="Z677" i="22"/>
  <c r="Y677" i="22"/>
  <c r="X677" i="22"/>
  <c r="W677" i="22"/>
  <c r="AO676" i="22"/>
  <c r="AB676" i="22"/>
  <c r="AA676" i="22"/>
  <c r="Z676" i="22"/>
  <c r="Y676" i="22"/>
  <c r="X676" i="22"/>
  <c r="W676" i="22"/>
  <c r="AO675" i="22"/>
  <c r="AB675" i="22"/>
  <c r="AA675" i="22"/>
  <c r="Z675" i="22"/>
  <c r="Y675" i="22"/>
  <c r="X675" i="22"/>
  <c r="W675" i="22"/>
  <c r="AO674" i="22"/>
  <c r="AB674" i="22"/>
  <c r="AA674" i="22"/>
  <c r="Z674" i="22"/>
  <c r="Y674" i="22"/>
  <c r="X674" i="22"/>
  <c r="W674" i="22"/>
  <c r="AO673" i="22"/>
  <c r="AB673" i="22"/>
  <c r="AA673" i="22"/>
  <c r="Z673" i="22"/>
  <c r="Y673" i="22"/>
  <c r="X673" i="22"/>
  <c r="W673" i="22"/>
  <c r="AO672" i="22"/>
  <c r="AB672" i="22"/>
  <c r="AA672" i="22"/>
  <c r="Z672" i="22"/>
  <c r="Y672" i="22"/>
  <c r="X672" i="22"/>
  <c r="W672" i="22"/>
  <c r="AO671" i="22"/>
  <c r="AB671" i="22"/>
  <c r="AA671" i="22"/>
  <c r="Z671" i="22"/>
  <c r="Y671" i="22"/>
  <c r="X671" i="22"/>
  <c r="W671" i="22"/>
  <c r="AO670" i="22"/>
  <c r="AB670" i="22"/>
  <c r="AA670" i="22"/>
  <c r="Z670" i="22"/>
  <c r="Y670" i="22"/>
  <c r="X670" i="22"/>
  <c r="W670" i="22"/>
  <c r="B670" i="22"/>
  <c r="A670" i="22"/>
  <c r="AO669" i="22"/>
  <c r="AB669" i="22"/>
  <c r="AA669" i="22"/>
  <c r="Z669" i="22"/>
  <c r="Y669" i="22"/>
  <c r="X669" i="22"/>
  <c r="W669" i="22"/>
  <c r="K669" i="22"/>
  <c r="J669" i="22"/>
  <c r="I669" i="22"/>
  <c r="AO668" i="22"/>
  <c r="AB668" i="22"/>
  <c r="AA668" i="22"/>
  <c r="Z668" i="22"/>
  <c r="Y668" i="22"/>
  <c r="X668" i="22"/>
  <c r="W668" i="22"/>
  <c r="K668" i="22"/>
  <c r="J668" i="22"/>
  <c r="I668" i="22"/>
  <c r="AO667" i="22"/>
  <c r="AB667" i="22"/>
  <c r="AA667" i="22"/>
  <c r="Z667" i="22"/>
  <c r="Y667" i="22"/>
  <c r="X667" i="22"/>
  <c r="W667" i="22"/>
  <c r="K667" i="22"/>
  <c r="J667" i="22"/>
  <c r="I667" i="22"/>
  <c r="AO666" i="22"/>
  <c r="AB666" i="22"/>
  <c r="AA666" i="22"/>
  <c r="Z666" i="22"/>
  <c r="Y666" i="22"/>
  <c r="X666" i="22"/>
  <c r="W666" i="22"/>
  <c r="K666" i="22"/>
  <c r="J666" i="22"/>
  <c r="I666" i="22"/>
  <c r="AO665" i="22"/>
  <c r="AB665" i="22"/>
  <c r="AA665" i="22"/>
  <c r="Z665" i="22"/>
  <c r="Y665" i="22"/>
  <c r="X665" i="22"/>
  <c r="W665" i="22"/>
  <c r="K665" i="22"/>
  <c r="J665" i="22"/>
  <c r="I665" i="22"/>
  <c r="AO664" i="22"/>
  <c r="AB664" i="22"/>
  <c r="AA664" i="22"/>
  <c r="Z664" i="22"/>
  <c r="Y664" i="22"/>
  <c r="X664" i="22"/>
  <c r="W664" i="22"/>
  <c r="K664" i="22"/>
  <c r="J664" i="22"/>
  <c r="I664" i="22"/>
  <c r="AO663" i="22"/>
  <c r="AB663" i="22"/>
  <c r="AA663" i="22"/>
  <c r="Z663" i="22"/>
  <c r="Y663" i="22"/>
  <c r="X663" i="22"/>
  <c r="W663" i="22"/>
  <c r="K663" i="22"/>
  <c r="J663" i="22"/>
  <c r="I663" i="22"/>
  <c r="AO662" i="22"/>
  <c r="AB662" i="22"/>
  <c r="AA662" i="22"/>
  <c r="Z662" i="22"/>
  <c r="Y662" i="22"/>
  <c r="X662" i="22"/>
  <c r="W662" i="22"/>
  <c r="K662" i="22"/>
  <c r="J662" i="22"/>
  <c r="I662" i="22"/>
  <c r="AO661" i="22"/>
  <c r="AB661" i="22"/>
  <c r="AA661" i="22"/>
  <c r="Z661" i="22"/>
  <c r="Y661" i="22"/>
  <c r="X661" i="22"/>
  <c r="W661" i="22"/>
  <c r="K661" i="22"/>
  <c r="J661" i="22"/>
  <c r="I661" i="22"/>
  <c r="AO660" i="22"/>
  <c r="AB660" i="22"/>
  <c r="AA660" i="22"/>
  <c r="Z660" i="22"/>
  <c r="Y660" i="22"/>
  <c r="X660" i="22"/>
  <c r="W660" i="22"/>
  <c r="K660" i="22"/>
  <c r="J660" i="22"/>
  <c r="I660" i="22"/>
  <c r="AO659" i="22"/>
  <c r="AB659" i="22"/>
  <c r="AA659" i="22"/>
  <c r="Z659" i="22"/>
  <c r="Y659" i="22"/>
  <c r="X659" i="22"/>
  <c r="W659" i="22"/>
  <c r="K659" i="22"/>
  <c r="J659" i="22"/>
  <c r="I659" i="22"/>
  <c r="AO658" i="22"/>
  <c r="AB658" i="22"/>
  <c r="AA658" i="22"/>
  <c r="Z658" i="22"/>
  <c r="Y658" i="22"/>
  <c r="X658" i="22"/>
  <c r="W658" i="22"/>
  <c r="K658" i="22"/>
  <c r="J658" i="22"/>
  <c r="I658" i="22"/>
  <c r="B658" i="22"/>
  <c r="A658" i="22"/>
  <c r="AO657" i="22"/>
  <c r="AB657" i="22"/>
  <c r="AA657" i="22"/>
  <c r="Z657" i="22"/>
  <c r="Y657" i="22"/>
  <c r="X657" i="22"/>
  <c r="W657" i="22"/>
  <c r="K657" i="22"/>
  <c r="J657" i="22"/>
  <c r="I657" i="22"/>
  <c r="AO656" i="22"/>
  <c r="AB656" i="22"/>
  <c r="AA656" i="22"/>
  <c r="Z656" i="22"/>
  <c r="Y656" i="22"/>
  <c r="X656" i="22"/>
  <c r="W656" i="22"/>
  <c r="K656" i="22"/>
  <c r="J656" i="22"/>
  <c r="I656" i="22"/>
  <c r="AO655" i="22"/>
  <c r="AB655" i="22"/>
  <c r="AA655" i="22"/>
  <c r="Z655" i="22"/>
  <c r="Y655" i="22"/>
  <c r="X655" i="22"/>
  <c r="W655" i="22"/>
  <c r="K655" i="22"/>
  <c r="J655" i="22"/>
  <c r="I655" i="22"/>
  <c r="AO654" i="22"/>
  <c r="AB654" i="22"/>
  <c r="AA654" i="22"/>
  <c r="Z654" i="22"/>
  <c r="Y654" i="22"/>
  <c r="X654" i="22"/>
  <c r="W654" i="22"/>
  <c r="K654" i="22"/>
  <c r="J654" i="22"/>
  <c r="I654" i="22"/>
  <c r="AO653" i="22"/>
  <c r="AB653" i="22"/>
  <c r="AA653" i="22"/>
  <c r="Z653" i="22"/>
  <c r="Y653" i="22"/>
  <c r="X653" i="22"/>
  <c r="W653" i="22"/>
  <c r="K653" i="22"/>
  <c r="J653" i="22"/>
  <c r="I653" i="22"/>
  <c r="AO652" i="22"/>
  <c r="AB652" i="22"/>
  <c r="AA652" i="22"/>
  <c r="Z652" i="22"/>
  <c r="Y652" i="22"/>
  <c r="X652" i="22"/>
  <c r="W652" i="22"/>
  <c r="K652" i="22"/>
  <c r="J652" i="22"/>
  <c r="I652" i="22"/>
  <c r="AO651" i="22"/>
  <c r="AB651" i="22"/>
  <c r="AA651" i="22"/>
  <c r="Z651" i="22"/>
  <c r="Y651" i="22"/>
  <c r="X651" i="22"/>
  <c r="W651" i="22"/>
  <c r="K651" i="22"/>
  <c r="J651" i="22"/>
  <c r="I651" i="22"/>
  <c r="AO650" i="22"/>
  <c r="AB650" i="22"/>
  <c r="AA650" i="22"/>
  <c r="Z650" i="22"/>
  <c r="Y650" i="22"/>
  <c r="X650" i="22"/>
  <c r="W650" i="22"/>
  <c r="K650" i="22"/>
  <c r="J650" i="22"/>
  <c r="I650" i="22"/>
  <c r="AO649" i="22"/>
  <c r="AB649" i="22"/>
  <c r="AA649" i="22"/>
  <c r="Z649" i="22"/>
  <c r="Y649" i="22"/>
  <c r="X649" i="22"/>
  <c r="W649" i="22"/>
  <c r="K649" i="22"/>
  <c r="J649" i="22"/>
  <c r="I649" i="22"/>
  <c r="AO648" i="22"/>
  <c r="AB648" i="22"/>
  <c r="AA648" i="22"/>
  <c r="Z648" i="22"/>
  <c r="Y648" i="22"/>
  <c r="X648" i="22"/>
  <c r="W648" i="22"/>
  <c r="K648" i="22"/>
  <c r="J648" i="22"/>
  <c r="I648" i="22"/>
  <c r="AO647" i="22"/>
  <c r="AB647" i="22"/>
  <c r="AA647" i="22"/>
  <c r="Z647" i="22"/>
  <c r="Y647" i="22"/>
  <c r="X647" i="22"/>
  <c r="W647" i="22"/>
  <c r="K647" i="22"/>
  <c r="J647" i="22"/>
  <c r="I647" i="22"/>
  <c r="AO646" i="22"/>
  <c r="AB646" i="22"/>
  <c r="AA646" i="22"/>
  <c r="Z646" i="22"/>
  <c r="Y646" i="22"/>
  <c r="X646" i="22"/>
  <c r="W646" i="22"/>
  <c r="K646" i="22"/>
  <c r="J646" i="22"/>
  <c r="I646" i="22"/>
  <c r="B646" i="22"/>
  <c r="A646" i="22"/>
  <c r="AO645" i="22"/>
  <c r="AB645" i="22"/>
  <c r="AA645" i="22"/>
  <c r="Z645" i="22"/>
  <c r="Y645" i="22"/>
  <c r="X645" i="22"/>
  <c r="W645" i="22"/>
  <c r="K645" i="22"/>
  <c r="J645" i="22"/>
  <c r="I645" i="22"/>
  <c r="AO644" i="22"/>
  <c r="AB644" i="22"/>
  <c r="AA644" i="22"/>
  <c r="Z644" i="22"/>
  <c r="Y644" i="22"/>
  <c r="X644" i="22"/>
  <c r="W644" i="22"/>
  <c r="K644" i="22"/>
  <c r="J644" i="22"/>
  <c r="I644" i="22"/>
  <c r="AO643" i="22"/>
  <c r="AB643" i="22"/>
  <c r="AA643" i="22"/>
  <c r="Z643" i="22"/>
  <c r="Y643" i="22"/>
  <c r="X643" i="22"/>
  <c r="W643" i="22"/>
  <c r="K643" i="22"/>
  <c r="J643" i="22"/>
  <c r="I643" i="22"/>
  <c r="AO642" i="22"/>
  <c r="AB642" i="22"/>
  <c r="AA642" i="22"/>
  <c r="Z642" i="22"/>
  <c r="Y642" i="22"/>
  <c r="X642" i="22"/>
  <c r="W642" i="22"/>
  <c r="K642" i="22"/>
  <c r="J642" i="22"/>
  <c r="I642" i="22"/>
  <c r="AO641" i="22"/>
  <c r="AB641" i="22"/>
  <c r="AA641" i="22"/>
  <c r="Z641" i="22"/>
  <c r="Y641" i="22"/>
  <c r="X641" i="22"/>
  <c r="W641" i="22"/>
  <c r="K641" i="22"/>
  <c r="J641" i="22"/>
  <c r="I641" i="22"/>
  <c r="AO640" i="22"/>
  <c r="AB640" i="22"/>
  <c r="AA640" i="22"/>
  <c r="Z640" i="22"/>
  <c r="Y640" i="22"/>
  <c r="X640" i="22"/>
  <c r="W640" i="22"/>
  <c r="K640" i="22"/>
  <c r="J640" i="22"/>
  <c r="I640" i="22"/>
  <c r="AO639" i="22"/>
  <c r="AB639" i="22"/>
  <c r="AA639" i="22"/>
  <c r="Z639" i="22"/>
  <c r="Y639" i="22"/>
  <c r="X639" i="22"/>
  <c r="W639" i="22"/>
  <c r="K639" i="22"/>
  <c r="J639" i="22"/>
  <c r="I639" i="22"/>
  <c r="AO638" i="22"/>
  <c r="AB638" i="22"/>
  <c r="AA638" i="22"/>
  <c r="Z638" i="22"/>
  <c r="Y638" i="22"/>
  <c r="X638" i="22"/>
  <c r="W638" i="22"/>
  <c r="K638" i="22"/>
  <c r="J638" i="22"/>
  <c r="I638" i="22"/>
  <c r="AO637" i="22"/>
  <c r="AB637" i="22"/>
  <c r="AA637" i="22"/>
  <c r="Z637" i="22"/>
  <c r="Y637" i="22"/>
  <c r="X637" i="22"/>
  <c r="W637" i="22"/>
  <c r="K637" i="22"/>
  <c r="J637" i="22"/>
  <c r="I637" i="22"/>
  <c r="AO636" i="22"/>
  <c r="AB636" i="22"/>
  <c r="AA636" i="22"/>
  <c r="Z636" i="22"/>
  <c r="Y636" i="22"/>
  <c r="X636" i="22"/>
  <c r="W636" i="22"/>
  <c r="K636" i="22"/>
  <c r="J636" i="22"/>
  <c r="I636" i="22"/>
  <c r="AO635" i="22"/>
  <c r="AB635" i="22"/>
  <c r="AA635" i="22"/>
  <c r="Z635" i="22"/>
  <c r="Y635" i="22"/>
  <c r="X635" i="22"/>
  <c r="W635" i="22"/>
  <c r="K635" i="22"/>
  <c r="J635" i="22"/>
  <c r="I635" i="22"/>
  <c r="AO634" i="22"/>
  <c r="AB634" i="22"/>
  <c r="AA634" i="22"/>
  <c r="Z634" i="22"/>
  <c r="Y634" i="22"/>
  <c r="X634" i="22"/>
  <c r="W634" i="22"/>
  <c r="K634" i="22"/>
  <c r="J634" i="22"/>
  <c r="I634" i="22"/>
  <c r="B634" i="22"/>
  <c r="A634" i="22"/>
  <c r="AO633" i="22"/>
  <c r="AB633" i="22"/>
  <c r="AA633" i="22"/>
  <c r="Z633" i="22"/>
  <c r="Y633" i="22"/>
  <c r="X633" i="22"/>
  <c r="W633" i="22"/>
  <c r="K633" i="22"/>
  <c r="J633" i="22"/>
  <c r="I633" i="22"/>
  <c r="AO632" i="22"/>
  <c r="AB632" i="22"/>
  <c r="AA632" i="22"/>
  <c r="Z632" i="22"/>
  <c r="Y632" i="22"/>
  <c r="X632" i="22"/>
  <c r="W632" i="22"/>
  <c r="K632" i="22"/>
  <c r="I632" i="22"/>
  <c r="AO631" i="22"/>
  <c r="AB631" i="22"/>
  <c r="AA631" i="22"/>
  <c r="Z631" i="22"/>
  <c r="Y631" i="22"/>
  <c r="X631" i="22"/>
  <c r="W631" i="22"/>
  <c r="K631" i="22"/>
  <c r="J631" i="22"/>
  <c r="I631" i="22"/>
  <c r="AO630" i="22"/>
  <c r="AB630" i="22"/>
  <c r="AA630" i="22"/>
  <c r="Z630" i="22"/>
  <c r="Y630" i="22"/>
  <c r="X630" i="22"/>
  <c r="W630" i="22"/>
  <c r="K630" i="22"/>
  <c r="J630" i="22"/>
  <c r="I630" i="22"/>
  <c r="AO629" i="22"/>
  <c r="AB629" i="22"/>
  <c r="AA629" i="22"/>
  <c r="Z629" i="22"/>
  <c r="Y629" i="22"/>
  <c r="X629" i="22"/>
  <c r="W629" i="22"/>
  <c r="K629" i="22"/>
  <c r="J629" i="22"/>
  <c r="I629" i="22"/>
  <c r="AO628" i="22"/>
  <c r="AB628" i="22"/>
  <c r="AA628" i="22"/>
  <c r="Z628" i="22"/>
  <c r="Y628" i="22"/>
  <c r="X628" i="22"/>
  <c r="W628" i="22"/>
  <c r="K628" i="22"/>
  <c r="J628" i="22"/>
  <c r="I628" i="22"/>
  <c r="AO627" i="22"/>
  <c r="AB627" i="22"/>
  <c r="AA627" i="22"/>
  <c r="Z627" i="22"/>
  <c r="Y627" i="22"/>
  <c r="X627" i="22"/>
  <c r="W627" i="22"/>
  <c r="K627" i="22"/>
  <c r="J627" i="22"/>
  <c r="I627" i="22"/>
  <c r="AO626" i="22"/>
  <c r="AB626" i="22"/>
  <c r="AA626" i="22"/>
  <c r="Z626" i="22"/>
  <c r="Y626" i="22"/>
  <c r="X626" i="22"/>
  <c r="W626" i="22"/>
  <c r="K626" i="22"/>
  <c r="J626" i="22"/>
  <c r="I626" i="22"/>
  <c r="AO625" i="22"/>
  <c r="AB625" i="22"/>
  <c r="AA625" i="22"/>
  <c r="Z625" i="22"/>
  <c r="Y625" i="22"/>
  <c r="X625" i="22"/>
  <c r="W625" i="22"/>
  <c r="K625" i="22"/>
  <c r="J625" i="22"/>
  <c r="I625" i="22"/>
  <c r="AO624" i="22"/>
  <c r="AB624" i="22"/>
  <c r="AA624" i="22"/>
  <c r="Z624" i="22"/>
  <c r="Y624" i="22"/>
  <c r="X624" i="22"/>
  <c r="W624" i="22"/>
  <c r="K624" i="22"/>
  <c r="J624" i="22"/>
  <c r="I624" i="22"/>
  <c r="AO623" i="22"/>
  <c r="AB623" i="22"/>
  <c r="AA623" i="22"/>
  <c r="Z623" i="22"/>
  <c r="Y623" i="22"/>
  <c r="X623" i="22"/>
  <c r="W623" i="22"/>
  <c r="K623" i="22"/>
  <c r="J623" i="22"/>
  <c r="I623" i="22"/>
  <c r="AO622" i="22"/>
  <c r="AB622" i="22"/>
  <c r="AA622" i="22"/>
  <c r="Z622" i="22"/>
  <c r="Y622" i="22"/>
  <c r="X622" i="22"/>
  <c r="W622" i="22"/>
  <c r="K622" i="22"/>
  <c r="J622" i="22"/>
  <c r="I622" i="22"/>
  <c r="B622" i="22"/>
  <c r="A622" i="22"/>
  <c r="AO621" i="22"/>
  <c r="AB621" i="22"/>
  <c r="AA621" i="22"/>
  <c r="Z621" i="22"/>
  <c r="Y621" i="22"/>
  <c r="X621" i="22"/>
  <c r="W621" i="22"/>
  <c r="AN621" i="22"/>
  <c r="AM621" i="22"/>
  <c r="AL621" i="22"/>
  <c r="AK621" i="22"/>
  <c r="AJ621" i="22"/>
  <c r="AI621" i="22"/>
  <c r="AH621" i="22"/>
  <c r="AG621" i="22"/>
  <c r="K621" i="22"/>
  <c r="I621" i="22"/>
  <c r="AO620" i="22"/>
  <c r="AB620" i="22"/>
  <c r="AA620" i="22"/>
  <c r="Z620" i="22"/>
  <c r="Y620" i="22"/>
  <c r="X620" i="22"/>
  <c r="W620" i="22"/>
  <c r="AN620" i="22"/>
  <c r="AM620" i="22"/>
  <c r="AL620" i="22"/>
  <c r="AK620" i="22"/>
  <c r="AJ620" i="22"/>
  <c r="AI620" i="22"/>
  <c r="AH620" i="22"/>
  <c r="AG620" i="22"/>
  <c r="K620" i="22"/>
  <c r="J620" i="22"/>
  <c r="I620" i="22"/>
  <c r="AO619" i="22"/>
  <c r="AB619" i="22"/>
  <c r="AA619" i="22"/>
  <c r="Z619" i="22"/>
  <c r="Y619" i="22"/>
  <c r="X619" i="22"/>
  <c r="W619" i="22"/>
  <c r="AN619" i="22"/>
  <c r="AM619" i="22"/>
  <c r="AL619" i="22"/>
  <c r="AK619" i="22"/>
  <c r="AJ619" i="22"/>
  <c r="AI619" i="22"/>
  <c r="AH619" i="22"/>
  <c r="AG619" i="22"/>
  <c r="K619" i="22"/>
  <c r="J619" i="22"/>
  <c r="I619" i="22"/>
  <c r="AO618" i="22"/>
  <c r="AB618" i="22"/>
  <c r="AA618" i="22"/>
  <c r="Z618" i="22"/>
  <c r="Y618" i="22"/>
  <c r="X618" i="22"/>
  <c r="W618" i="22"/>
  <c r="AN618" i="22"/>
  <c r="AM618" i="22"/>
  <c r="AL618" i="22"/>
  <c r="AK618" i="22"/>
  <c r="AJ618" i="22"/>
  <c r="AI618" i="22"/>
  <c r="AH618" i="22"/>
  <c r="AG618" i="22"/>
  <c r="K618" i="22"/>
  <c r="J618" i="22"/>
  <c r="I618" i="22"/>
  <c r="AO617" i="22"/>
  <c r="AB617" i="22"/>
  <c r="AA617" i="22"/>
  <c r="Z617" i="22"/>
  <c r="Y617" i="22"/>
  <c r="X617" i="22"/>
  <c r="W617" i="22"/>
  <c r="AN617" i="22"/>
  <c r="AM617" i="22"/>
  <c r="AL617" i="22"/>
  <c r="AK617" i="22"/>
  <c r="AJ617" i="22"/>
  <c r="AI617" i="22"/>
  <c r="AH617" i="22"/>
  <c r="AG617" i="22"/>
  <c r="K617" i="22"/>
  <c r="J617" i="22"/>
  <c r="I617" i="22"/>
  <c r="AO616" i="22"/>
  <c r="AB616" i="22"/>
  <c r="AA616" i="22"/>
  <c r="Z616" i="22"/>
  <c r="Y616" i="22"/>
  <c r="X616" i="22"/>
  <c r="W616" i="22"/>
  <c r="AN616" i="22"/>
  <c r="AM616" i="22"/>
  <c r="AL616" i="22"/>
  <c r="AK616" i="22"/>
  <c r="AJ616" i="22"/>
  <c r="AI616" i="22"/>
  <c r="AH616" i="22"/>
  <c r="AG616" i="22"/>
  <c r="K616" i="22"/>
  <c r="J616" i="22"/>
  <c r="I616" i="22"/>
  <c r="AO615" i="22"/>
  <c r="AB615" i="22"/>
  <c r="AA615" i="22"/>
  <c r="Z615" i="22"/>
  <c r="Y615" i="22"/>
  <c r="X615" i="22"/>
  <c r="W615" i="22"/>
  <c r="AN615" i="22"/>
  <c r="AM615" i="22"/>
  <c r="AL615" i="22"/>
  <c r="AK615" i="22"/>
  <c r="AJ615" i="22"/>
  <c r="AI615" i="22"/>
  <c r="AH615" i="22"/>
  <c r="AG615" i="22"/>
  <c r="K615" i="22"/>
  <c r="J615" i="22"/>
  <c r="I615" i="22"/>
  <c r="AO614" i="22"/>
  <c r="AB614" i="22"/>
  <c r="AA614" i="22"/>
  <c r="Z614" i="22"/>
  <c r="Y614" i="22"/>
  <c r="X614" i="22"/>
  <c r="W614" i="22"/>
  <c r="AN614" i="22"/>
  <c r="AM614" i="22"/>
  <c r="AL614" i="22"/>
  <c r="AK614" i="22"/>
  <c r="AJ614" i="22"/>
  <c r="AI614" i="22"/>
  <c r="AH614" i="22"/>
  <c r="AG614" i="22"/>
  <c r="K614" i="22"/>
  <c r="J614" i="22"/>
  <c r="I614" i="22"/>
  <c r="AO613" i="22"/>
  <c r="AB613" i="22"/>
  <c r="AA613" i="22"/>
  <c r="Z613" i="22"/>
  <c r="Y613" i="22"/>
  <c r="X613" i="22"/>
  <c r="W613" i="22"/>
  <c r="AN613" i="22"/>
  <c r="AM613" i="22"/>
  <c r="AL613" i="22"/>
  <c r="AK613" i="22"/>
  <c r="AJ613" i="22"/>
  <c r="AI613" i="22"/>
  <c r="AH613" i="22"/>
  <c r="AG613" i="22"/>
  <c r="K613" i="22"/>
  <c r="J613" i="22"/>
  <c r="I613" i="22"/>
  <c r="AO612" i="22"/>
  <c r="AB612" i="22"/>
  <c r="AA612" i="22"/>
  <c r="Z612" i="22"/>
  <c r="Y612" i="22"/>
  <c r="X612" i="22"/>
  <c r="W612" i="22"/>
  <c r="AN612" i="22"/>
  <c r="AM612" i="22"/>
  <c r="AL612" i="22"/>
  <c r="AK612" i="22"/>
  <c r="AJ612" i="22"/>
  <c r="AI612" i="22"/>
  <c r="AH612" i="22"/>
  <c r="AG612" i="22"/>
  <c r="K612" i="22"/>
  <c r="J612" i="22"/>
  <c r="I612" i="22"/>
  <c r="AO611" i="22"/>
  <c r="AB611" i="22"/>
  <c r="AA611" i="22"/>
  <c r="Z611" i="22"/>
  <c r="Y611" i="22"/>
  <c r="X611" i="22"/>
  <c r="W611" i="22"/>
  <c r="AN611" i="22"/>
  <c r="AM611" i="22"/>
  <c r="AL611" i="22"/>
  <c r="AK611" i="22"/>
  <c r="AJ611" i="22"/>
  <c r="AI611" i="22"/>
  <c r="AH611" i="22"/>
  <c r="AG611" i="22"/>
  <c r="K611" i="22"/>
  <c r="J611" i="22"/>
  <c r="I611" i="22"/>
  <c r="AO610" i="22"/>
  <c r="AB610" i="22"/>
  <c r="AA610" i="22"/>
  <c r="Z610" i="22"/>
  <c r="Y610" i="22"/>
  <c r="X610" i="22"/>
  <c r="W610" i="22"/>
  <c r="AN610" i="22"/>
  <c r="AM610" i="22"/>
  <c r="AL610" i="22"/>
  <c r="AK610" i="22"/>
  <c r="AJ610" i="22"/>
  <c r="AI610" i="22"/>
  <c r="AH610" i="22"/>
  <c r="AG610" i="22"/>
  <c r="K610" i="22"/>
  <c r="J610" i="22"/>
  <c r="I610" i="22"/>
  <c r="B610" i="22"/>
  <c r="A610" i="22"/>
  <c r="AO609" i="22"/>
  <c r="AN609" i="22"/>
  <c r="AM609" i="22"/>
  <c r="AL609" i="22"/>
  <c r="AK609" i="22"/>
  <c r="AJ609" i="22"/>
  <c r="AI609" i="22"/>
  <c r="AH609" i="22"/>
  <c r="AE609" i="22"/>
  <c r="AD609" i="22"/>
  <c r="AB609" i="22"/>
  <c r="AA609" i="22"/>
  <c r="Z609" i="22"/>
  <c r="Y609" i="22"/>
  <c r="X609" i="22"/>
  <c r="W609" i="22"/>
  <c r="AO608" i="22"/>
  <c r="AN608" i="22"/>
  <c r="AM608" i="22"/>
  <c r="AL608" i="22"/>
  <c r="AK608" i="22"/>
  <c r="AJ608" i="22"/>
  <c r="AI608" i="22"/>
  <c r="AH608" i="22"/>
  <c r="AE608" i="22"/>
  <c r="AD608" i="22"/>
  <c r="AB608" i="22"/>
  <c r="AA608" i="22"/>
  <c r="Z608" i="22"/>
  <c r="Y608" i="22"/>
  <c r="X608" i="22"/>
  <c r="W608" i="22"/>
  <c r="AO607" i="22"/>
  <c r="AN607" i="22"/>
  <c r="AM607" i="22"/>
  <c r="AL607" i="22"/>
  <c r="AK607" i="22"/>
  <c r="AJ607" i="22"/>
  <c r="AI607" i="22"/>
  <c r="AH607" i="22"/>
  <c r="AE607" i="22"/>
  <c r="AD607" i="22"/>
  <c r="AB607" i="22"/>
  <c r="AA607" i="22"/>
  <c r="Z607" i="22"/>
  <c r="Y607" i="22"/>
  <c r="X607" i="22"/>
  <c r="W607" i="22"/>
  <c r="AO606" i="22"/>
  <c r="AN606" i="22"/>
  <c r="AM606" i="22"/>
  <c r="AL606" i="22"/>
  <c r="AK606" i="22"/>
  <c r="AJ606" i="22"/>
  <c r="AI606" i="22"/>
  <c r="AH606" i="22"/>
  <c r="AE606" i="22"/>
  <c r="AD606" i="22"/>
  <c r="AB606" i="22"/>
  <c r="AA606" i="22"/>
  <c r="Z606" i="22"/>
  <c r="Y606" i="22"/>
  <c r="X606" i="22"/>
  <c r="W606" i="22"/>
  <c r="AO605" i="22"/>
  <c r="AN605" i="22"/>
  <c r="AM605" i="22"/>
  <c r="AL605" i="22"/>
  <c r="AK605" i="22"/>
  <c r="AJ605" i="22"/>
  <c r="AI605" i="22"/>
  <c r="AH605" i="22"/>
  <c r="AE605" i="22"/>
  <c r="AD605" i="22"/>
  <c r="AB605" i="22"/>
  <c r="AA605" i="22"/>
  <c r="Z605" i="22"/>
  <c r="Y605" i="22"/>
  <c r="X605" i="22"/>
  <c r="W605" i="22"/>
  <c r="AO604" i="22"/>
  <c r="AN604" i="22"/>
  <c r="AM604" i="22"/>
  <c r="AL604" i="22"/>
  <c r="AK604" i="22"/>
  <c r="AJ604" i="22"/>
  <c r="AI604" i="22"/>
  <c r="AH604" i="22"/>
  <c r="AE604" i="22"/>
  <c r="AD604" i="22"/>
  <c r="AB604" i="22"/>
  <c r="AA604" i="22"/>
  <c r="Z604" i="22"/>
  <c r="Y604" i="22"/>
  <c r="X604" i="22"/>
  <c r="W604" i="22"/>
  <c r="AO603" i="22"/>
  <c r="AN603" i="22"/>
  <c r="AM603" i="22"/>
  <c r="AL603" i="22"/>
  <c r="AK603" i="22"/>
  <c r="AJ603" i="22"/>
  <c r="AI603" i="22"/>
  <c r="AH603" i="22"/>
  <c r="AE603" i="22"/>
  <c r="AD603" i="22"/>
  <c r="AB603" i="22"/>
  <c r="AA603" i="22"/>
  <c r="Z603" i="22"/>
  <c r="Y603" i="22"/>
  <c r="X603" i="22"/>
  <c r="W603" i="22"/>
  <c r="AO602" i="22"/>
  <c r="AN602" i="22"/>
  <c r="AM602" i="22"/>
  <c r="AL602" i="22"/>
  <c r="AK602" i="22"/>
  <c r="AJ602" i="22"/>
  <c r="AI602" i="22"/>
  <c r="AH602" i="22"/>
  <c r="AE602" i="22"/>
  <c r="AD602" i="22"/>
  <c r="AB602" i="22"/>
  <c r="AA602" i="22"/>
  <c r="Z602" i="22"/>
  <c r="Y602" i="22"/>
  <c r="X602" i="22"/>
  <c r="W602" i="22"/>
  <c r="AO601" i="22"/>
  <c r="AN601" i="22"/>
  <c r="AM601" i="22"/>
  <c r="AL601" i="22"/>
  <c r="AK601" i="22"/>
  <c r="AJ601" i="22"/>
  <c r="AI601" i="22"/>
  <c r="AH601" i="22"/>
  <c r="AE601" i="22"/>
  <c r="AD601" i="22"/>
  <c r="AB601" i="22"/>
  <c r="AA601" i="22"/>
  <c r="Z601" i="22"/>
  <c r="Y601" i="22"/>
  <c r="X601" i="22"/>
  <c r="W601" i="22"/>
  <c r="AO600" i="22"/>
  <c r="AN600" i="22"/>
  <c r="AM600" i="22"/>
  <c r="AL600" i="22"/>
  <c r="AK600" i="22"/>
  <c r="AJ600" i="22"/>
  <c r="AI600" i="22"/>
  <c r="AH600" i="22"/>
  <c r="AE600" i="22"/>
  <c r="AD600" i="22"/>
  <c r="AB600" i="22"/>
  <c r="AA600" i="22"/>
  <c r="Z600" i="22"/>
  <c r="Y600" i="22"/>
  <c r="X600" i="22"/>
  <c r="W600" i="22"/>
  <c r="AO599" i="22"/>
  <c r="AN599" i="22"/>
  <c r="AM599" i="22"/>
  <c r="AL599" i="22"/>
  <c r="AK599" i="22"/>
  <c r="AJ599" i="22"/>
  <c r="AI599" i="22"/>
  <c r="AH599" i="22"/>
  <c r="AE599" i="22"/>
  <c r="AD599" i="22"/>
  <c r="AB599" i="22"/>
  <c r="AA599" i="22"/>
  <c r="Z599" i="22"/>
  <c r="Y599" i="22"/>
  <c r="X599" i="22"/>
  <c r="W599" i="22"/>
  <c r="AO598" i="22"/>
  <c r="AN598" i="22"/>
  <c r="AM598" i="22"/>
  <c r="AL598" i="22"/>
  <c r="AK598" i="22"/>
  <c r="AJ598" i="22"/>
  <c r="AI598" i="22"/>
  <c r="AH598" i="22"/>
  <c r="AE598" i="22"/>
  <c r="AD598" i="22"/>
  <c r="AB598" i="22"/>
  <c r="AA598" i="22"/>
  <c r="Z598" i="22"/>
  <c r="Y598" i="22"/>
  <c r="X598" i="22"/>
  <c r="W598" i="22"/>
  <c r="B598" i="22"/>
  <c r="A598" i="22"/>
  <c r="AO597" i="22"/>
  <c r="AB597" i="22"/>
  <c r="AA597" i="22"/>
  <c r="Z597" i="22"/>
  <c r="Y597" i="22"/>
  <c r="X597" i="22"/>
  <c r="W597" i="22"/>
  <c r="AN597" i="22"/>
  <c r="AM597" i="22"/>
  <c r="AL597" i="22"/>
  <c r="AK597" i="22"/>
  <c r="AJ597" i="22"/>
  <c r="AI597" i="22"/>
  <c r="AH597" i="22"/>
  <c r="AG597" i="22"/>
  <c r="K597" i="22"/>
  <c r="J597" i="22"/>
  <c r="I597" i="22"/>
  <c r="AO596" i="22"/>
  <c r="AB596" i="22"/>
  <c r="AA596" i="22"/>
  <c r="Z596" i="22"/>
  <c r="Y596" i="22"/>
  <c r="X596" i="22"/>
  <c r="W596" i="22"/>
  <c r="AN596" i="22"/>
  <c r="AM596" i="22"/>
  <c r="AL596" i="22"/>
  <c r="AK596" i="22"/>
  <c r="AJ596" i="22"/>
  <c r="AI596" i="22"/>
  <c r="AH596" i="22"/>
  <c r="AG596" i="22"/>
  <c r="K596" i="22"/>
  <c r="J596" i="22"/>
  <c r="I596" i="22"/>
  <c r="AO595" i="22"/>
  <c r="AB595" i="22"/>
  <c r="AA595" i="22"/>
  <c r="Z595" i="22"/>
  <c r="Y595" i="22"/>
  <c r="X595" i="22"/>
  <c r="W595" i="22"/>
  <c r="AN595" i="22"/>
  <c r="AM595" i="22"/>
  <c r="AL595" i="22"/>
  <c r="AK595" i="22"/>
  <c r="AJ595" i="22"/>
  <c r="AI595" i="22"/>
  <c r="AH595" i="22"/>
  <c r="AG595" i="22"/>
  <c r="K595" i="22"/>
  <c r="J595" i="22"/>
  <c r="I595" i="22"/>
  <c r="AO594" i="22"/>
  <c r="AB594" i="22"/>
  <c r="AA594" i="22"/>
  <c r="Z594" i="22"/>
  <c r="Y594" i="22"/>
  <c r="X594" i="22"/>
  <c r="W594" i="22"/>
  <c r="AN594" i="22"/>
  <c r="AM594" i="22"/>
  <c r="AL594" i="22"/>
  <c r="AK594" i="22"/>
  <c r="AJ594" i="22"/>
  <c r="AI594" i="22"/>
  <c r="AH594" i="22"/>
  <c r="AG594" i="22"/>
  <c r="K594" i="22"/>
  <c r="J594" i="22"/>
  <c r="I594" i="22"/>
  <c r="AO593" i="22"/>
  <c r="AB593" i="22"/>
  <c r="AA593" i="22"/>
  <c r="Z593" i="22"/>
  <c r="Y593" i="22"/>
  <c r="X593" i="22"/>
  <c r="W593" i="22"/>
  <c r="AN593" i="22"/>
  <c r="AM593" i="22"/>
  <c r="AL593" i="22"/>
  <c r="AK593" i="22"/>
  <c r="AJ593" i="22"/>
  <c r="AI593" i="22"/>
  <c r="AH593" i="22"/>
  <c r="AG593" i="22"/>
  <c r="K593" i="22"/>
  <c r="J593" i="22"/>
  <c r="I593" i="22"/>
  <c r="AO592" i="22"/>
  <c r="AB592" i="22"/>
  <c r="AA592" i="22"/>
  <c r="Z592" i="22"/>
  <c r="Y592" i="22"/>
  <c r="X592" i="22"/>
  <c r="W592" i="22"/>
  <c r="AN592" i="22"/>
  <c r="AM592" i="22"/>
  <c r="AL592" i="22"/>
  <c r="AK592" i="22"/>
  <c r="AJ592" i="22"/>
  <c r="AI592" i="22"/>
  <c r="AH592" i="22"/>
  <c r="AG592" i="22"/>
  <c r="K592" i="22"/>
  <c r="J592" i="22"/>
  <c r="I592" i="22"/>
  <c r="AO591" i="22"/>
  <c r="AB591" i="22"/>
  <c r="AA591" i="22"/>
  <c r="Z591" i="22"/>
  <c r="Y591" i="22"/>
  <c r="X591" i="22"/>
  <c r="W591" i="22"/>
  <c r="AN591" i="22"/>
  <c r="AM591" i="22"/>
  <c r="AL591" i="22"/>
  <c r="AK591" i="22"/>
  <c r="AJ591" i="22"/>
  <c r="AI591" i="22"/>
  <c r="AH591" i="22"/>
  <c r="AG591" i="22"/>
  <c r="K591" i="22"/>
  <c r="J591" i="22"/>
  <c r="I591" i="22"/>
  <c r="AO590" i="22"/>
  <c r="AB590" i="22"/>
  <c r="AA590" i="22"/>
  <c r="Z590" i="22"/>
  <c r="Y590" i="22"/>
  <c r="X590" i="22"/>
  <c r="W590" i="22"/>
  <c r="AN590" i="22"/>
  <c r="AM590" i="22"/>
  <c r="AL590" i="22"/>
  <c r="AK590" i="22"/>
  <c r="AJ590" i="22"/>
  <c r="AI590" i="22"/>
  <c r="AH590" i="22"/>
  <c r="AG590" i="22"/>
  <c r="K590" i="22"/>
  <c r="J590" i="22"/>
  <c r="I590" i="22"/>
  <c r="AO589" i="22"/>
  <c r="AB589" i="22"/>
  <c r="AA589" i="22"/>
  <c r="Z589" i="22"/>
  <c r="Y589" i="22"/>
  <c r="X589" i="22"/>
  <c r="W589" i="22"/>
  <c r="AN589" i="22"/>
  <c r="AM589" i="22"/>
  <c r="AL589" i="22"/>
  <c r="AK589" i="22"/>
  <c r="AJ589" i="22"/>
  <c r="AI589" i="22"/>
  <c r="AH589" i="22"/>
  <c r="AG589" i="22"/>
  <c r="K589" i="22"/>
  <c r="J589" i="22"/>
  <c r="I589" i="22"/>
  <c r="AO588" i="22"/>
  <c r="AB588" i="22"/>
  <c r="AA588" i="22"/>
  <c r="Z588" i="22"/>
  <c r="Y588" i="22"/>
  <c r="X588" i="22"/>
  <c r="W588" i="22"/>
  <c r="AN588" i="22"/>
  <c r="AM588" i="22"/>
  <c r="AL588" i="22"/>
  <c r="AK588" i="22"/>
  <c r="AJ588" i="22"/>
  <c r="AI588" i="22"/>
  <c r="AH588" i="22"/>
  <c r="AG588" i="22"/>
  <c r="K588" i="22"/>
  <c r="J588" i="22"/>
  <c r="I588" i="22"/>
  <c r="AO587" i="22"/>
  <c r="AB587" i="22"/>
  <c r="AA587" i="22"/>
  <c r="Z587" i="22"/>
  <c r="Y587" i="22"/>
  <c r="X587" i="22"/>
  <c r="W587" i="22"/>
  <c r="AN587" i="22"/>
  <c r="AM587" i="22"/>
  <c r="AL587" i="22"/>
  <c r="AK587" i="22"/>
  <c r="AJ587" i="22"/>
  <c r="AI587" i="22"/>
  <c r="AH587" i="22"/>
  <c r="AG587" i="22"/>
  <c r="K587" i="22"/>
  <c r="J587" i="22"/>
  <c r="I587" i="22"/>
  <c r="AO586" i="22"/>
  <c r="AB586" i="22"/>
  <c r="AA586" i="22"/>
  <c r="Z586" i="22"/>
  <c r="Y586" i="22"/>
  <c r="X586" i="22"/>
  <c r="W586" i="22"/>
  <c r="AN586" i="22"/>
  <c r="AM586" i="22"/>
  <c r="AL586" i="22"/>
  <c r="AK586" i="22"/>
  <c r="AJ586" i="22"/>
  <c r="AI586" i="22"/>
  <c r="AH586" i="22"/>
  <c r="AG586" i="22"/>
  <c r="K586" i="22"/>
  <c r="J586" i="22"/>
  <c r="I586" i="22"/>
  <c r="B586" i="22"/>
  <c r="A586" i="22"/>
  <c r="AO585" i="22"/>
  <c r="AN585" i="22"/>
  <c r="AM585" i="22"/>
  <c r="AL585" i="22"/>
  <c r="AK585" i="22"/>
  <c r="AJ585" i="22"/>
  <c r="AI585" i="22"/>
  <c r="AH585" i="22"/>
  <c r="AB585" i="22"/>
  <c r="AA585" i="22"/>
  <c r="Z585" i="22"/>
  <c r="Y585" i="22"/>
  <c r="X585" i="22"/>
  <c r="W585" i="22"/>
  <c r="AO584" i="22"/>
  <c r="AN584" i="22"/>
  <c r="AM584" i="22"/>
  <c r="AL584" i="22"/>
  <c r="AK584" i="22"/>
  <c r="AJ584" i="22"/>
  <c r="AI584" i="22"/>
  <c r="AH584" i="22"/>
  <c r="AB584" i="22"/>
  <c r="AA584" i="22"/>
  <c r="Z584" i="22"/>
  <c r="Y584" i="22"/>
  <c r="X584" i="22"/>
  <c r="W584" i="22"/>
  <c r="AO583" i="22"/>
  <c r="AN583" i="22"/>
  <c r="AM583" i="22"/>
  <c r="AL583" i="22"/>
  <c r="AK583" i="22"/>
  <c r="AJ583" i="22"/>
  <c r="AI583" i="22"/>
  <c r="AH583" i="22"/>
  <c r="AB583" i="22"/>
  <c r="AA583" i="22"/>
  <c r="Z583" i="22"/>
  <c r="Y583" i="22"/>
  <c r="X583" i="22"/>
  <c r="W583" i="22"/>
  <c r="AO582" i="22"/>
  <c r="AN582" i="22"/>
  <c r="AM582" i="22"/>
  <c r="AL582" i="22"/>
  <c r="AK582" i="22"/>
  <c r="AJ582" i="22"/>
  <c r="AI582" i="22"/>
  <c r="AH582" i="22"/>
  <c r="AB582" i="22"/>
  <c r="AA582" i="22"/>
  <c r="Z582" i="22"/>
  <c r="Y582" i="22"/>
  <c r="X582" i="22"/>
  <c r="W582" i="22"/>
  <c r="AO581" i="22"/>
  <c r="AN581" i="22"/>
  <c r="AM581" i="22"/>
  <c r="AL581" i="22"/>
  <c r="AK581" i="22"/>
  <c r="AJ581" i="22"/>
  <c r="AI581" i="22"/>
  <c r="AH581" i="22"/>
  <c r="AB581" i="22"/>
  <c r="AA581" i="22"/>
  <c r="Z581" i="22"/>
  <c r="Y581" i="22"/>
  <c r="X581" i="22"/>
  <c r="W581" i="22"/>
  <c r="AO580" i="22"/>
  <c r="AN580" i="22"/>
  <c r="AM580" i="22"/>
  <c r="AL580" i="22"/>
  <c r="AK580" i="22"/>
  <c r="AJ580" i="22"/>
  <c r="AI580" i="22"/>
  <c r="AH580" i="22"/>
  <c r="AB580" i="22"/>
  <c r="AA580" i="22"/>
  <c r="Z580" i="22"/>
  <c r="Y580" i="22"/>
  <c r="X580" i="22"/>
  <c r="W580" i="22"/>
  <c r="AO579" i="22"/>
  <c r="AN579" i="22"/>
  <c r="AM579" i="22"/>
  <c r="AL579" i="22"/>
  <c r="AK579" i="22"/>
  <c r="AJ579" i="22"/>
  <c r="AI579" i="22"/>
  <c r="AH579" i="22"/>
  <c r="AB579" i="22"/>
  <c r="AA579" i="22"/>
  <c r="Z579" i="22"/>
  <c r="Y579" i="22"/>
  <c r="X579" i="22"/>
  <c r="W579" i="22"/>
  <c r="AO578" i="22"/>
  <c r="AN578" i="22"/>
  <c r="AM578" i="22"/>
  <c r="AL578" i="22"/>
  <c r="AK578" i="22"/>
  <c r="AJ578" i="22"/>
  <c r="AI578" i="22"/>
  <c r="AH578" i="22"/>
  <c r="AB578" i="22"/>
  <c r="AA578" i="22"/>
  <c r="Z578" i="22"/>
  <c r="Y578" i="22"/>
  <c r="X578" i="22"/>
  <c r="W578" i="22"/>
  <c r="AO577" i="22"/>
  <c r="AN577" i="22"/>
  <c r="AM577" i="22"/>
  <c r="AL577" i="22"/>
  <c r="AK577" i="22"/>
  <c r="AJ577" i="22"/>
  <c r="AI577" i="22"/>
  <c r="AH577" i="22"/>
  <c r="AB577" i="22"/>
  <c r="AA577" i="22"/>
  <c r="Z577" i="22"/>
  <c r="Y577" i="22"/>
  <c r="X577" i="22"/>
  <c r="W577" i="22"/>
  <c r="AO576" i="22"/>
  <c r="AN576" i="22"/>
  <c r="AM576" i="22"/>
  <c r="AL576" i="22"/>
  <c r="AK576" i="22"/>
  <c r="AJ576" i="22"/>
  <c r="AI576" i="22"/>
  <c r="AH576" i="22"/>
  <c r="AB576" i="22"/>
  <c r="AA576" i="22"/>
  <c r="Z576" i="22"/>
  <c r="Y576" i="22"/>
  <c r="X576" i="22"/>
  <c r="W576" i="22"/>
  <c r="AO575" i="22"/>
  <c r="AN575" i="22"/>
  <c r="AM575" i="22"/>
  <c r="AL575" i="22"/>
  <c r="AK575" i="22"/>
  <c r="AJ575" i="22"/>
  <c r="AI575" i="22"/>
  <c r="AH575" i="22"/>
  <c r="AB575" i="22"/>
  <c r="AA575" i="22"/>
  <c r="Z575" i="22"/>
  <c r="Y575" i="22"/>
  <c r="X575" i="22"/>
  <c r="W575" i="22"/>
  <c r="AO574" i="22"/>
  <c r="AN574" i="22"/>
  <c r="AM574" i="22"/>
  <c r="AL574" i="22"/>
  <c r="AK574" i="22"/>
  <c r="AJ574" i="22"/>
  <c r="AI574" i="22"/>
  <c r="AH574" i="22"/>
  <c r="AB574" i="22"/>
  <c r="AA574" i="22"/>
  <c r="Z574" i="22"/>
  <c r="Y574" i="22"/>
  <c r="X574" i="22"/>
  <c r="W574" i="22"/>
  <c r="B574" i="22"/>
  <c r="A574" i="22"/>
  <c r="AO573" i="22"/>
  <c r="AB573" i="22"/>
  <c r="AA573" i="22"/>
  <c r="Z573" i="22"/>
  <c r="Y573" i="22"/>
  <c r="X573" i="22"/>
  <c r="W573" i="22"/>
  <c r="AN573" i="22"/>
  <c r="AM573" i="22"/>
  <c r="AL573" i="22"/>
  <c r="AK573" i="22"/>
  <c r="AJ573" i="22"/>
  <c r="AI573" i="22"/>
  <c r="AH573" i="22"/>
  <c r="AG573" i="22"/>
  <c r="K573" i="22"/>
  <c r="J573" i="22"/>
  <c r="I573" i="22"/>
  <c r="AO572" i="22"/>
  <c r="AB572" i="22"/>
  <c r="AA572" i="22"/>
  <c r="Z572" i="22"/>
  <c r="Y572" i="22"/>
  <c r="X572" i="22"/>
  <c r="W572" i="22"/>
  <c r="AN572" i="22"/>
  <c r="AM572" i="22"/>
  <c r="AL572" i="22"/>
  <c r="AK572" i="22"/>
  <c r="AJ572" i="22"/>
  <c r="AI572" i="22"/>
  <c r="AH572" i="22"/>
  <c r="AG572" i="22"/>
  <c r="K572" i="22"/>
  <c r="J572" i="22"/>
  <c r="I572" i="22"/>
  <c r="AO571" i="22"/>
  <c r="AB571" i="22"/>
  <c r="AA571" i="22"/>
  <c r="Z571" i="22"/>
  <c r="Y571" i="22"/>
  <c r="X571" i="22"/>
  <c r="W571" i="22"/>
  <c r="AN571" i="22"/>
  <c r="AM571" i="22"/>
  <c r="AL571" i="22"/>
  <c r="AK571" i="22"/>
  <c r="AJ571" i="22"/>
  <c r="AI571" i="22"/>
  <c r="AH571" i="22"/>
  <c r="AG571" i="22"/>
  <c r="K571" i="22"/>
  <c r="J571" i="22"/>
  <c r="I571" i="22"/>
  <c r="AO570" i="22"/>
  <c r="AB570" i="22"/>
  <c r="AA570" i="22"/>
  <c r="Z570" i="22"/>
  <c r="Y570" i="22"/>
  <c r="X570" i="22"/>
  <c r="W570" i="22"/>
  <c r="AN570" i="22"/>
  <c r="AM570" i="22"/>
  <c r="AL570" i="22"/>
  <c r="AK570" i="22"/>
  <c r="AJ570" i="22"/>
  <c r="AI570" i="22"/>
  <c r="AH570" i="22"/>
  <c r="AG570" i="22"/>
  <c r="K570" i="22"/>
  <c r="J570" i="22"/>
  <c r="I570" i="22"/>
  <c r="AO569" i="22"/>
  <c r="AB569" i="22"/>
  <c r="AA569" i="22"/>
  <c r="Z569" i="22"/>
  <c r="Y569" i="22"/>
  <c r="X569" i="22"/>
  <c r="W569" i="22"/>
  <c r="AN569" i="22"/>
  <c r="AM569" i="22"/>
  <c r="AL569" i="22"/>
  <c r="AK569" i="22"/>
  <c r="AJ569" i="22"/>
  <c r="AI569" i="22"/>
  <c r="AH569" i="22"/>
  <c r="AG569" i="22"/>
  <c r="K569" i="22"/>
  <c r="J569" i="22"/>
  <c r="I569" i="22"/>
  <c r="AO568" i="22"/>
  <c r="AB568" i="22"/>
  <c r="AA568" i="22"/>
  <c r="Z568" i="22"/>
  <c r="Y568" i="22"/>
  <c r="X568" i="22"/>
  <c r="W568" i="22"/>
  <c r="AN568" i="22"/>
  <c r="AM568" i="22"/>
  <c r="AL568" i="22"/>
  <c r="AK568" i="22"/>
  <c r="AJ568" i="22"/>
  <c r="AI568" i="22"/>
  <c r="AH568" i="22"/>
  <c r="AG568" i="22"/>
  <c r="K568" i="22"/>
  <c r="J568" i="22"/>
  <c r="I568" i="22"/>
  <c r="AO567" i="22"/>
  <c r="AB567" i="22"/>
  <c r="AA567" i="22"/>
  <c r="Z567" i="22"/>
  <c r="Y567" i="22"/>
  <c r="X567" i="22"/>
  <c r="W567" i="22"/>
  <c r="AN567" i="22"/>
  <c r="AM567" i="22"/>
  <c r="AL567" i="22"/>
  <c r="AK567" i="22"/>
  <c r="AJ567" i="22"/>
  <c r="AI567" i="22"/>
  <c r="AH567" i="22"/>
  <c r="AG567" i="22"/>
  <c r="K567" i="22"/>
  <c r="J567" i="22"/>
  <c r="I567" i="22"/>
  <c r="AO566" i="22"/>
  <c r="AB566" i="22"/>
  <c r="AA566" i="22"/>
  <c r="Z566" i="22"/>
  <c r="Y566" i="22"/>
  <c r="X566" i="22"/>
  <c r="W566" i="22"/>
  <c r="AN566" i="22"/>
  <c r="AM566" i="22"/>
  <c r="AL566" i="22"/>
  <c r="AK566" i="22"/>
  <c r="AJ566" i="22"/>
  <c r="AI566" i="22"/>
  <c r="AH566" i="22"/>
  <c r="AG566" i="22"/>
  <c r="K566" i="22"/>
  <c r="J566" i="22"/>
  <c r="I566" i="22"/>
  <c r="AO565" i="22"/>
  <c r="AB565" i="22"/>
  <c r="AA565" i="22"/>
  <c r="Z565" i="22"/>
  <c r="Y565" i="22"/>
  <c r="X565" i="22"/>
  <c r="W565" i="22"/>
  <c r="AN565" i="22"/>
  <c r="AM565" i="22"/>
  <c r="AL565" i="22"/>
  <c r="AK565" i="22"/>
  <c r="AJ565" i="22"/>
  <c r="AI565" i="22"/>
  <c r="AH565" i="22"/>
  <c r="AG565" i="22"/>
  <c r="K565" i="22"/>
  <c r="J565" i="22"/>
  <c r="I565" i="22"/>
  <c r="AO564" i="22"/>
  <c r="AB564" i="22"/>
  <c r="AA564" i="22"/>
  <c r="Z564" i="22"/>
  <c r="Y564" i="22"/>
  <c r="X564" i="22"/>
  <c r="W564" i="22"/>
  <c r="AN564" i="22"/>
  <c r="AM564" i="22"/>
  <c r="AL564" i="22"/>
  <c r="AK564" i="22"/>
  <c r="AJ564" i="22"/>
  <c r="AI564" i="22"/>
  <c r="AH564" i="22"/>
  <c r="AG564" i="22"/>
  <c r="K564" i="22"/>
  <c r="J564" i="22"/>
  <c r="I564" i="22"/>
  <c r="AO563" i="22"/>
  <c r="AB563" i="22"/>
  <c r="AA563" i="22"/>
  <c r="Z563" i="22"/>
  <c r="Y563" i="22"/>
  <c r="X563" i="22"/>
  <c r="W563" i="22"/>
  <c r="AN563" i="22"/>
  <c r="AM563" i="22"/>
  <c r="AL563" i="22"/>
  <c r="AK563" i="22"/>
  <c r="AJ563" i="22"/>
  <c r="AI563" i="22"/>
  <c r="AH563" i="22"/>
  <c r="AG563" i="22"/>
  <c r="K563" i="22"/>
  <c r="J563" i="22"/>
  <c r="I563" i="22"/>
  <c r="AO562" i="22"/>
  <c r="AB562" i="22"/>
  <c r="AA562" i="22"/>
  <c r="Z562" i="22"/>
  <c r="Y562" i="22"/>
  <c r="X562" i="22"/>
  <c r="W562" i="22"/>
  <c r="AN562" i="22"/>
  <c r="AM562" i="22"/>
  <c r="AL562" i="22"/>
  <c r="AK562" i="22"/>
  <c r="AJ562" i="22"/>
  <c r="AI562" i="22"/>
  <c r="AH562" i="22"/>
  <c r="AG562" i="22"/>
  <c r="K562" i="22"/>
  <c r="J562" i="22"/>
  <c r="I562" i="22"/>
  <c r="B562" i="22"/>
  <c r="A562" i="22"/>
  <c r="AO561" i="22"/>
  <c r="AB561" i="22"/>
  <c r="AA561" i="22"/>
  <c r="Z561" i="22"/>
  <c r="Y561" i="22"/>
  <c r="X561" i="22"/>
  <c r="W561" i="22"/>
  <c r="AN561" i="22"/>
  <c r="AM561" i="22"/>
  <c r="AL561" i="22"/>
  <c r="AK561" i="22"/>
  <c r="AJ561" i="22"/>
  <c r="AI561" i="22"/>
  <c r="AH561" i="22"/>
  <c r="AG561" i="22"/>
  <c r="K561" i="22"/>
  <c r="J561" i="22"/>
  <c r="I561" i="22"/>
  <c r="AO560" i="22"/>
  <c r="AB560" i="22"/>
  <c r="AA560" i="22"/>
  <c r="Z560" i="22"/>
  <c r="Y560" i="22"/>
  <c r="X560" i="22"/>
  <c r="W560" i="22"/>
  <c r="AN560" i="22"/>
  <c r="AM560" i="22"/>
  <c r="AL560" i="22"/>
  <c r="AK560" i="22"/>
  <c r="AJ560" i="22"/>
  <c r="AI560" i="22"/>
  <c r="AH560" i="22"/>
  <c r="AG560" i="22"/>
  <c r="K560" i="22"/>
  <c r="J560" i="22"/>
  <c r="I560" i="22"/>
  <c r="AO559" i="22"/>
  <c r="AB559" i="22"/>
  <c r="AA559" i="22"/>
  <c r="Z559" i="22"/>
  <c r="Y559" i="22"/>
  <c r="X559" i="22"/>
  <c r="W559" i="22"/>
  <c r="AN559" i="22"/>
  <c r="AM559" i="22"/>
  <c r="AL559" i="22"/>
  <c r="AK559" i="22"/>
  <c r="AJ559" i="22"/>
  <c r="AI559" i="22"/>
  <c r="AH559" i="22"/>
  <c r="AG559" i="22"/>
  <c r="K559" i="22"/>
  <c r="J559" i="22"/>
  <c r="I559" i="22"/>
  <c r="AO558" i="22"/>
  <c r="AB558" i="22"/>
  <c r="AA558" i="22"/>
  <c r="Z558" i="22"/>
  <c r="Y558" i="22"/>
  <c r="X558" i="22"/>
  <c r="W558" i="22"/>
  <c r="AN558" i="22"/>
  <c r="AM558" i="22"/>
  <c r="AL558" i="22"/>
  <c r="AK558" i="22"/>
  <c r="AJ558" i="22"/>
  <c r="AI558" i="22"/>
  <c r="AH558" i="22"/>
  <c r="AG558" i="22"/>
  <c r="K558" i="22"/>
  <c r="J558" i="22"/>
  <c r="I558" i="22"/>
  <c r="AO557" i="22"/>
  <c r="AB557" i="22"/>
  <c r="AA557" i="22"/>
  <c r="Z557" i="22"/>
  <c r="Y557" i="22"/>
  <c r="X557" i="22"/>
  <c r="W557" i="22"/>
  <c r="AN557" i="22"/>
  <c r="AM557" i="22"/>
  <c r="AL557" i="22"/>
  <c r="AK557" i="22"/>
  <c r="AJ557" i="22"/>
  <c r="AI557" i="22"/>
  <c r="AH557" i="22"/>
  <c r="AG557" i="22"/>
  <c r="K557" i="22"/>
  <c r="J557" i="22"/>
  <c r="I557" i="22"/>
  <c r="AO556" i="22"/>
  <c r="AB556" i="22"/>
  <c r="AA556" i="22"/>
  <c r="Z556" i="22"/>
  <c r="Y556" i="22"/>
  <c r="X556" i="22"/>
  <c r="W556" i="22"/>
  <c r="AN556" i="22"/>
  <c r="AM556" i="22"/>
  <c r="AL556" i="22"/>
  <c r="AK556" i="22"/>
  <c r="AJ556" i="22"/>
  <c r="AI556" i="22"/>
  <c r="AH556" i="22"/>
  <c r="AG556" i="22"/>
  <c r="K556" i="22"/>
  <c r="J556" i="22"/>
  <c r="I556" i="22"/>
  <c r="AO555" i="22"/>
  <c r="AB555" i="22"/>
  <c r="AA555" i="22"/>
  <c r="Z555" i="22"/>
  <c r="Y555" i="22"/>
  <c r="X555" i="22"/>
  <c r="W555" i="22"/>
  <c r="AN555" i="22"/>
  <c r="AM555" i="22"/>
  <c r="AL555" i="22"/>
  <c r="AK555" i="22"/>
  <c r="AJ555" i="22"/>
  <c r="AI555" i="22"/>
  <c r="AH555" i="22"/>
  <c r="AG555" i="22"/>
  <c r="K555" i="22"/>
  <c r="J555" i="22"/>
  <c r="I555" i="22"/>
  <c r="AO554" i="22"/>
  <c r="AB554" i="22"/>
  <c r="AA554" i="22"/>
  <c r="Z554" i="22"/>
  <c r="Y554" i="22"/>
  <c r="X554" i="22"/>
  <c r="W554" i="22"/>
  <c r="AN554" i="22"/>
  <c r="AM554" i="22"/>
  <c r="AL554" i="22"/>
  <c r="AK554" i="22"/>
  <c r="AJ554" i="22"/>
  <c r="AI554" i="22"/>
  <c r="AH554" i="22"/>
  <c r="AG554" i="22"/>
  <c r="K554" i="22"/>
  <c r="J554" i="22"/>
  <c r="I554" i="22"/>
  <c r="AO553" i="22"/>
  <c r="AB553" i="22"/>
  <c r="AA553" i="22"/>
  <c r="Z553" i="22"/>
  <c r="Y553" i="22"/>
  <c r="X553" i="22"/>
  <c r="W553" i="22"/>
  <c r="AN553" i="22"/>
  <c r="AM553" i="22"/>
  <c r="AL553" i="22"/>
  <c r="AK553" i="22"/>
  <c r="AJ553" i="22"/>
  <c r="AI553" i="22"/>
  <c r="AH553" i="22"/>
  <c r="AG553" i="22"/>
  <c r="K553" i="22"/>
  <c r="J553" i="22"/>
  <c r="I553" i="22"/>
  <c r="AO552" i="22"/>
  <c r="AB552" i="22"/>
  <c r="AA552" i="22"/>
  <c r="Z552" i="22"/>
  <c r="Y552" i="22"/>
  <c r="X552" i="22"/>
  <c r="W552" i="22"/>
  <c r="AN552" i="22"/>
  <c r="AM552" i="22"/>
  <c r="AL552" i="22"/>
  <c r="AK552" i="22"/>
  <c r="AJ552" i="22"/>
  <c r="AI552" i="22"/>
  <c r="AH552" i="22"/>
  <c r="AG552" i="22"/>
  <c r="K552" i="22"/>
  <c r="J552" i="22"/>
  <c r="I552" i="22"/>
  <c r="AO551" i="22"/>
  <c r="AB551" i="22"/>
  <c r="AA551" i="22"/>
  <c r="Z551" i="22"/>
  <c r="Y551" i="22"/>
  <c r="X551" i="22"/>
  <c r="W551" i="22"/>
  <c r="AN551" i="22"/>
  <c r="AM551" i="22"/>
  <c r="AL551" i="22"/>
  <c r="AK551" i="22"/>
  <c r="AJ551" i="22"/>
  <c r="AI551" i="22"/>
  <c r="AH551" i="22"/>
  <c r="AG551" i="22"/>
  <c r="K551" i="22"/>
  <c r="J551" i="22"/>
  <c r="I551" i="22"/>
  <c r="AO550" i="22"/>
  <c r="AB550" i="22"/>
  <c r="AA550" i="22"/>
  <c r="Z550" i="22"/>
  <c r="Y550" i="22"/>
  <c r="X550" i="22"/>
  <c r="W550" i="22"/>
  <c r="AN550" i="22"/>
  <c r="AM550" i="22"/>
  <c r="AL550" i="22"/>
  <c r="AK550" i="22"/>
  <c r="AJ550" i="22"/>
  <c r="AI550" i="22"/>
  <c r="AH550" i="22"/>
  <c r="AG550" i="22"/>
  <c r="K550" i="22"/>
  <c r="J550" i="22"/>
  <c r="I550" i="22"/>
  <c r="B550" i="22"/>
  <c r="A550" i="22"/>
  <c r="AO549" i="22"/>
  <c r="AB549" i="22"/>
  <c r="AA549" i="22"/>
  <c r="Z549" i="22"/>
  <c r="Y549" i="22"/>
  <c r="X549" i="22"/>
  <c r="W549" i="22"/>
  <c r="AN549" i="22"/>
  <c r="AM549" i="22"/>
  <c r="AL549" i="22"/>
  <c r="AK549" i="22"/>
  <c r="AJ549" i="22"/>
  <c r="AI549" i="22"/>
  <c r="AH549" i="22"/>
  <c r="AG549" i="22"/>
  <c r="K549" i="22"/>
  <c r="J549" i="22"/>
  <c r="I549" i="22"/>
  <c r="AO548" i="22"/>
  <c r="AB548" i="22"/>
  <c r="AA548" i="22"/>
  <c r="Z548" i="22"/>
  <c r="Y548" i="22"/>
  <c r="X548" i="22"/>
  <c r="W548" i="22"/>
  <c r="AN548" i="22"/>
  <c r="AM548" i="22"/>
  <c r="AL548" i="22"/>
  <c r="AK548" i="22"/>
  <c r="AJ548" i="22"/>
  <c r="AI548" i="22"/>
  <c r="AH548" i="22"/>
  <c r="AG548" i="22"/>
  <c r="K548" i="22"/>
  <c r="J548" i="22"/>
  <c r="I548" i="22"/>
  <c r="AO547" i="22"/>
  <c r="AB547" i="22"/>
  <c r="AA547" i="22"/>
  <c r="Z547" i="22"/>
  <c r="Y547" i="22"/>
  <c r="X547" i="22"/>
  <c r="W547" i="22"/>
  <c r="AN547" i="22"/>
  <c r="AM547" i="22"/>
  <c r="AL547" i="22"/>
  <c r="AK547" i="22"/>
  <c r="AJ547" i="22"/>
  <c r="AI547" i="22"/>
  <c r="AH547" i="22"/>
  <c r="AG547" i="22"/>
  <c r="K547" i="22"/>
  <c r="J547" i="22"/>
  <c r="I547" i="22"/>
  <c r="AO546" i="22"/>
  <c r="AB546" i="22"/>
  <c r="AA546" i="22"/>
  <c r="Z546" i="22"/>
  <c r="Y546" i="22"/>
  <c r="X546" i="22"/>
  <c r="W546" i="22"/>
  <c r="AN546" i="22"/>
  <c r="AM546" i="22"/>
  <c r="AL546" i="22"/>
  <c r="AK546" i="22"/>
  <c r="AJ546" i="22"/>
  <c r="AI546" i="22"/>
  <c r="AH546" i="22"/>
  <c r="AG546" i="22"/>
  <c r="K546" i="22"/>
  <c r="J546" i="22"/>
  <c r="I546" i="22"/>
  <c r="AO545" i="22"/>
  <c r="AB545" i="22"/>
  <c r="AA545" i="22"/>
  <c r="Z545" i="22"/>
  <c r="Y545" i="22"/>
  <c r="X545" i="22"/>
  <c r="W545" i="22"/>
  <c r="AN545" i="22"/>
  <c r="AM545" i="22"/>
  <c r="AL545" i="22"/>
  <c r="AK545" i="22"/>
  <c r="AJ545" i="22"/>
  <c r="AI545" i="22"/>
  <c r="AH545" i="22"/>
  <c r="AG545" i="22"/>
  <c r="K545" i="22"/>
  <c r="J545" i="22"/>
  <c r="I545" i="22"/>
  <c r="AO544" i="22"/>
  <c r="AB544" i="22"/>
  <c r="AA544" i="22"/>
  <c r="Z544" i="22"/>
  <c r="Y544" i="22"/>
  <c r="X544" i="22"/>
  <c r="W544" i="22"/>
  <c r="AN544" i="22"/>
  <c r="AM544" i="22"/>
  <c r="AL544" i="22"/>
  <c r="AK544" i="22"/>
  <c r="AJ544" i="22"/>
  <c r="AI544" i="22"/>
  <c r="AH544" i="22"/>
  <c r="AG544" i="22"/>
  <c r="K544" i="22"/>
  <c r="J544" i="22"/>
  <c r="I544" i="22"/>
  <c r="AO543" i="22"/>
  <c r="AB543" i="22"/>
  <c r="AA543" i="22"/>
  <c r="Z543" i="22"/>
  <c r="Y543" i="22"/>
  <c r="X543" i="22"/>
  <c r="W543" i="22"/>
  <c r="AN543" i="22"/>
  <c r="AM543" i="22"/>
  <c r="AL543" i="22"/>
  <c r="AK543" i="22"/>
  <c r="AJ543" i="22"/>
  <c r="AI543" i="22"/>
  <c r="AH543" i="22"/>
  <c r="AG543" i="22"/>
  <c r="K543" i="22"/>
  <c r="J543" i="22"/>
  <c r="I543" i="22"/>
  <c r="AO542" i="22"/>
  <c r="AB542" i="22"/>
  <c r="AA542" i="22"/>
  <c r="Z542" i="22"/>
  <c r="Y542" i="22"/>
  <c r="X542" i="22"/>
  <c r="W542" i="22"/>
  <c r="AN542" i="22"/>
  <c r="AM542" i="22"/>
  <c r="AL542" i="22"/>
  <c r="AK542" i="22"/>
  <c r="AJ542" i="22"/>
  <c r="AI542" i="22"/>
  <c r="AH542" i="22"/>
  <c r="AG542" i="22"/>
  <c r="K542" i="22"/>
  <c r="J542" i="22"/>
  <c r="I542" i="22"/>
  <c r="AO541" i="22"/>
  <c r="AB541" i="22"/>
  <c r="AA541" i="22"/>
  <c r="Z541" i="22"/>
  <c r="Y541" i="22"/>
  <c r="X541" i="22"/>
  <c r="W541" i="22"/>
  <c r="AN541" i="22"/>
  <c r="AM541" i="22"/>
  <c r="AL541" i="22"/>
  <c r="AK541" i="22"/>
  <c r="AJ541" i="22"/>
  <c r="AI541" i="22"/>
  <c r="AH541" i="22"/>
  <c r="AG541" i="22"/>
  <c r="K541" i="22"/>
  <c r="J541" i="22"/>
  <c r="I541" i="22"/>
  <c r="AO540" i="22"/>
  <c r="AB540" i="22"/>
  <c r="AA540" i="22"/>
  <c r="Z540" i="22"/>
  <c r="Y540" i="22"/>
  <c r="X540" i="22"/>
  <c r="W540" i="22"/>
  <c r="AN540" i="22"/>
  <c r="AM540" i="22"/>
  <c r="AL540" i="22"/>
  <c r="AK540" i="22"/>
  <c r="AJ540" i="22"/>
  <c r="AI540" i="22"/>
  <c r="AH540" i="22"/>
  <c r="AG540" i="22"/>
  <c r="K540" i="22"/>
  <c r="J540" i="22"/>
  <c r="I540" i="22"/>
  <c r="AO539" i="22"/>
  <c r="AB539" i="22"/>
  <c r="AA539" i="22"/>
  <c r="Z539" i="22"/>
  <c r="Y539" i="22"/>
  <c r="X539" i="22"/>
  <c r="W539" i="22"/>
  <c r="AN539" i="22"/>
  <c r="AM539" i="22"/>
  <c r="AL539" i="22"/>
  <c r="AK539" i="22"/>
  <c r="AJ539" i="22"/>
  <c r="AI539" i="22"/>
  <c r="AH539" i="22"/>
  <c r="AG539" i="22"/>
  <c r="K539" i="22"/>
  <c r="J539" i="22"/>
  <c r="I539" i="22"/>
  <c r="AO538" i="22"/>
  <c r="AB538" i="22"/>
  <c r="AA538" i="22"/>
  <c r="Z538" i="22"/>
  <c r="Y538" i="22"/>
  <c r="X538" i="22"/>
  <c r="W538" i="22"/>
  <c r="AN538" i="22"/>
  <c r="AM538" i="22"/>
  <c r="AL538" i="22"/>
  <c r="AK538" i="22"/>
  <c r="AJ538" i="22"/>
  <c r="AI538" i="22"/>
  <c r="AH538" i="22"/>
  <c r="AG538" i="22"/>
  <c r="K538" i="22"/>
  <c r="J538" i="22"/>
  <c r="I538" i="22"/>
  <c r="B538" i="22"/>
  <c r="A538" i="22"/>
  <c r="AO537" i="22"/>
  <c r="AB537" i="22"/>
  <c r="AA537" i="22"/>
  <c r="Z537" i="22"/>
  <c r="Y537" i="22"/>
  <c r="X537" i="22"/>
  <c r="W537" i="22"/>
  <c r="AN537" i="22"/>
  <c r="AM537" i="22"/>
  <c r="AL537" i="22"/>
  <c r="AK537" i="22"/>
  <c r="AJ537" i="22"/>
  <c r="AI537" i="22"/>
  <c r="AH537" i="22"/>
  <c r="AG537" i="22"/>
  <c r="AO536" i="22"/>
  <c r="AB536" i="22"/>
  <c r="AA536" i="22"/>
  <c r="Z536" i="22"/>
  <c r="Y536" i="22"/>
  <c r="X536" i="22"/>
  <c r="W536" i="22"/>
  <c r="AN536" i="22"/>
  <c r="AM536" i="22"/>
  <c r="AL536" i="22"/>
  <c r="AK536" i="22"/>
  <c r="AJ536" i="22"/>
  <c r="AI536" i="22"/>
  <c r="AH536" i="22"/>
  <c r="AG536" i="22"/>
  <c r="AO535" i="22"/>
  <c r="AB535" i="22"/>
  <c r="AA535" i="22"/>
  <c r="Z535" i="22"/>
  <c r="Y535" i="22"/>
  <c r="X535" i="22"/>
  <c r="W535" i="22"/>
  <c r="AN535" i="22"/>
  <c r="AM535" i="22"/>
  <c r="AL535" i="22"/>
  <c r="AK535" i="22"/>
  <c r="AJ535" i="22"/>
  <c r="AI535" i="22"/>
  <c r="AH535" i="22"/>
  <c r="AG535" i="22"/>
  <c r="AO534" i="22"/>
  <c r="AB534" i="22"/>
  <c r="AA534" i="22"/>
  <c r="Z534" i="22"/>
  <c r="Y534" i="22"/>
  <c r="X534" i="22"/>
  <c r="W534" i="22"/>
  <c r="AN534" i="22"/>
  <c r="AM534" i="22"/>
  <c r="AL534" i="22"/>
  <c r="AK534" i="22"/>
  <c r="AJ534" i="22"/>
  <c r="AI534" i="22"/>
  <c r="AH534" i="22"/>
  <c r="AG534" i="22"/>
  <c r="AO533" i="22"/>
  <c r="AB533" i="22"/>
  <c r="AA533" i="22"/>
  <c r="Z533" i="22"/>
  <c r="Y533" i="22"/>
  <c r="X533" i="22"/>
  <c r="W533" i="22"/>
  <c r="AN533" i="22"/>
  <c r="AM533" i="22"/>
  <c r="AL533" i="22"/>
  <c r="AK533" i="22"/>
  <c r="AJ533" i="22"/>
  <c r="AI533" i="22"/>
  <c r="AH533" i="22"/>
  <c r="AG533" i="22"/>
  <c r="AO532" i="22"/>
  <c r="AB532" i="22"/>
  <c r="AA532" i="22"/>
  <c r="Z532" i="22"/>
  <c r="Y532" i="22"/>
  <c r="X532" i="22"/>
  <c r="W532" i="22"/>
  <c r="AN532" i="22"/>
  <c r="AM532" i="22"/>
  <c r="AL532" i="22"/>
  <c r="AK532" i="22"/>
  <c r="AJ532" i="22"/>
  <c r="AI532" i="22"/>
  <c r="AH532" i="22"/>
  <c r="AG532" i="22"/>
  <c r="AO531" i="22"/>
  <c r="AB531" i="22"/>
  <c r="AA531" i="22"/>
  <c r="Z531" i="22"/>
  <c r="Y531" i="22"/>
  <c r="X531" i="22"/>
  <c r="W531" i="22"/>
  <c r="AN531" i="22"/>
  <c r="AM531" i="22"/>
  <c r="AL531" i="22"/>
  <c r="AK531" i="22"/>
  <c r="AJ531" i="22"/>
  <c r="AI531" i="22"/>
  <c r="AH531" i="22"/>
  <c r="AG531" i="22"/>
  <c r="AO530" i="22"/>
  <c r="AB530" i="22"/>
  <c r="AA530" i="22"/>
  <c r="Z530" i="22"/>
  <c r="Y530" i="22"/>
  <c r="X530" i="22"/>
  <c r="W530" i="22"/>
  <c r="AN530" i="22"/>
  <c r="AM530" i="22"/>
  <c r="AL530" i="22"/>
  <c r="AK530" i="22"/>
  <c r="AJ530" i="22"/>
  <c r="AI530" i="22"/>
  <c r="AH530" i="22"/>
  <c r="AG530" i="22"/>
  <c r="AO529" i="22"/>
  <c r="AB529" i="22"/>
  <c r="AA529" i="22"/>
  <c r="Z529" i="22"/>
  <c r="Y529" i="22"/>
  <c r="X529" i="22"/>
  <c r="W529" i="22"/>
  <c r="AN529" i="22"/>
  <c r="AM529" i="22"/>
  <c r="AL529" i="22"/>
  <c r="AK529" i="22"/>
  <c r="AJ529" i="22"/>
  <c r="AI529" i="22"/>
  <c r="AH529" i="22"/>
  <c r="AG529" i="22"/>
  <c r="AO528" i="22"/>
  <c r="AB528" i="22"/>
  <c r="AA528" i="22"/>
  <c r="Z528" i="22"/>
  <c r="Y528" i="22"/>
  <c r="X528" i="22"/>
  <c r="W528" i="22"/>
  <c r="AN528" i="22"/>
  <c r="AM528" i="22"/>
  <c r="AL528" i="22"/>
  <c r="AK528" i="22"/>
  <c r="AJ528" i="22"/>
  <c r="AI528" i="22"/>
  <c r="AH528" i="22"/>
  <c r="AG528" i="22"/>
  <c r="AO527" i="22"/>
  <c r="AB527" i="22"/>
  <c r="AA527" i="22"/>
  <c r="Z527" i="22"/>
  <c r="Y527" i="22"/>
  <c r="X527" i="22"/>
  <c r="W527" i="22"/>
  <c r="AN527" i="22"/>
  <c r="AM527" i="22"/>
  <c r="AL527" i="22"/>
  <c r="AK527" i="22"/>
  <c r="AJ527" i="22"/>
  <c r="AI527" i="22"/>
  <c r="AH527" i="22"/>
  <c r="AG527" i="22"/>
  <c r="AO526" i="22"/>
  <c r="AB526" i="22"/>
  <c r="AA526" i="22"/>
  <c r="Z526" i="22"/>
  <c r="Y526" i="22"/>
  <c r="X526" i="22"/>
  <c r="W526" i="22"/>
  <c r="AN526" i="22"/>
  <c r="AM526" i="22"/>
  <c r="AL526" i="22"/>
  <c r="AK526" i="22"/>
  <c r="AJ526" i="22"/>
  <c r="AI526" i="22"/>
  <c r="AH526" i="22"/>
  <c r="AG526" i="22"/>
  <c r="K526" i="22"/>
  <c r="J526" i="22"/>
  <c r="I526" i="22"/>
  <c r="B526" i="22"/>
  <c r="A526" i="22"/>
  <c r="AO525" i="22"/>
  <c r="AN525" i="22"/>
  <c r="AM525" i="22"/>
  <c r="AL525" i="22"/>
  <c r="AK525" i="22"/>
  <c r="AJ525" i="22"/>
  <c r="AI525" i="22"/>
  <c r="AH525" i="22"/>
  <c r="AB525" i="22"/>
  <c r="AA525" i="22"/>
  <c r="Z525" i="22"/>
  <c r="Y525" i="22"/>
  <c r="X525" i="22"/>
  <c r="W525" i="22"/>
  <c r="AO524" i="22"/>
  <c r="AN524" i="22"/>
  <c r="AM524" i="22"/>
  <c r="AL524" i="22"/>
  <c r="AK524" i="22"/>
  <c r="AJ524" i="22"/>
  <c r="AI524" i="22"/>
  <c r="AH524" i="22"/>
  <c r="AB524" i="22"/>
  <c r="AA524" i="22"/>
  <c r="Z524" i="22"/>
  <c r="Y524" i="22"/>
  <c r="X524" i="22"/>
  <c r="W524" i="22"/>
  <c r="AO523" i="22"/>
  <c r="AN523" i="22"/>
  <c r="AM523" i="22"/>
  <c r="AL523" i="22"/>
  <c r="AK523" i="22"/>
  <c r="AJ523" i="22"/>
  <c r="AI523" i="22"/>
  <c r="AH523" i="22"/>
  <c r="AB523" i="22"/>
  <c r="AA523" i="22"/>
  <c r="Z523" i="22"/>
  <c r="Y523" i="22"/>
  <c r="X523" i="22"/>
  <c r="W523" i="22"/>
  <c r="AO522" i="22"/>
  <c r="AN522" i="22"/>
  <c r="AM522" i="22"/>
  <c r="AL522" i="22"/>
  <c r="AK522" i="22"/>
  <c r="AJ522" i="22"/>
  <c r="AI522" i="22"/>
  <c r="AH522" i="22"/>
  <c r="AB522" i="22"/>
  <c r="AA522" i="22"/>
  <c r="Z522" i="22"/>
  <c r="Y522" i="22"/>
  <c r="X522" i="22"/>
  <c r="W522" i="22"/>
  <c r="AO521" i="22"/>
  <c r="AN521" i="22"/>
  <c r="AM521" i="22"/>
  <c r="AL521" i="22"/>
  <c r="AK521" i="22"/>
  <c r="AJ521" i="22"/>
  <c r="AI521" i="22"/>
  <c r="AH521" i="22"/>
  <c r="AB521" i="22"/>
  <c r="AA521" i="22"/>
  <c r="Z521" i="22"/>
  <c r="Y521" i="22"/>
  <c r="X521" i="22"/>
  <c r="W521" i="22"/>
  <c r="AO520" i="22"/>
  <c r="AN520" i="22"/>
  <c r="AM520" i="22"/>
  <c r="AL520" i="22"/>
  <c r="AK520" i="22"/>
  <c r="AJ520" i="22"/>
  <c r="AI520" i="22"/>
  <c r="AH520" i="22"/>
  <c r="AB520" i="22"/>
  <c r="AA520" i="22"/>
  <c r="Z520" i="22"/>
  <c r="Y520" i="22"/>
  <c r="X520" i="22"/>
  <c r="W520" i="22"/>
  <c r="AO519" i="22"/>
  <c r="AN519" i="22"/>
  <c r="AM519" i="22"/>
  <c r="AL519" i="22"/>
  <c r="AK519" i="22"/>
  <c r="AJ519" i="22"/>
  <c r="AI519" i="22"/>
  <c r="AH519" i="22"/>
  <c r="AB519" i="22"/>
  <c r="AA519" i="22"/>
  <c r="Z519" i="22"/>
  <c r="Y519" i="22"/>
  <c r="X519" i="22"/>
  <c r="W519" i="22"/>
  <c r="AO518" i="22"/>
  <c r="AN518" i="22"/>
  <c r="AM518" i="22"/>
  <c r="AL518" i="22"/>
  <c r="AK518" i="22"/>
  <c r="AJ518" i="22"/>
  <c r="AI518" i="22"/>
  <c r="AH518" i="22"/>
  <c r="AB518" i="22"/>
  <c r="AA518" i="22"/>
  <c r="Z518" i="22"/>
  <c r="Y518" i="22"/>
  <c r="X518" i="22"/>
  <c r="W518" i="22"/>
  <c r="AO517" i="22"/>
  <c r="AN517" i="22"/>
  <c r="AM517" i="22"/>
  <c r="AL517" i="22"/>
  <c r="AK517" i="22"/>
  <c r="AJ517" i="22"/>
  <c r="AI517" i="22"/>
  <c r="AH517" i="22"/>
  <c r="AB517" i="22"/>
  <c r="AA517" i="22"/>
  <c r="Z517" i="22"/>
  <c r="Y517" i="22"/>
  <c r="X517" i="22"/>
  <c r="W517" i="22"/>
  <c r="AO516" i="22"/>
  <c r="AN516" i="22"/>
  <c r="AM516" i="22"/>
  <c r="AL516" i="22"/>
  <c r="AK516" i="22"/>
  <c r="AJ516" i="22"/>
  <c r="AI516" i="22"/>
  <c r="AH516" i="22"/>
  <c r="AB516" i="22"/>
  <c r="AA516" i="22"/>
  <c r="Z516" i="22"/>
  <c r="Y516" i="22"/>
  <c r="X516" i="22"/>
  <c r="W516" i="22"/>
  <c r="AO515" i="22"/>
  <c r="AN515" i="22"/>
  <c r="AM515" i="22"/>
  <c r="AL515" i="22"/>
  <c r="AK515" i="22"/>
  <c r="AJ515" i="22"/>
  <c r="AI515" i="22"/>
  <c r="AH515" i="22"/>
  <c r="AB515" i="22"/>
  <c r="AA515" i="22"/>
  <c r="Z515" i="22"/>
  <c r="Y515" i="22"/>
  <c r="X515" i="22"/>
  <c r="W515" i="22"/>
  <c r="AO514" i="22"/>
  <c r="AN514" i="22"/>
  <c r="AM514" i="22"/>
  <c r="AL514" i="22"/>
  <c r="AK514" i="22"/>
  <c r="AJ514" i="22"/>
  <c r="AI514" i="22"/>
  <c r="AH514" i="22"/>
  <c r="AB514" i="22"/>
  <c r="AA514" i="22"/>
  <c r="Z514" i="22"/>
  <c r="Y514" i="22"/>
  <c r="X514" i="22"/>
  <c r="W514" i="22"/>
  <c r="B514" i="22"/>
  <c r="A514" i="22"/>
  <c r="AO513" i="22"/>
  <c r="AN513" i="22"/>
  <c r="AM513" i="22"/>
  <c r="AL513" i="22"/>
  <c r="AK513" i="22"/>
  <c r="AJ513" i="22"/>
  <c r="AI513" i="22"/>
  <c r="AH513" i="22"/>
  <c r="AB513" i="22"/>
  <c r="AA513" i="22"/>
  <c r="Z513" i="22"/>
  <c r="Y513" i="22"/>
  <c r="X513" i="22"/>
  <c r="W513" i="22"/>
  <c r="AO512" i="22"/>
  <c r="AN512" i="22"/>
  <c r="AM512" i="22"/>
  <c r="AL512" i="22"/>
  <c r="AK512" i="22"/>
  <c r="AJ512" i="22"/>
  <c r="AI512" i="22"/>
  <c r="AH512" i="22"/>
  <c r="AB512" i="22"/>
  <c r="AA512" i="22"/>
  <c r="Z512" i="22"/>
  <c r="Y512" i="22"/>
  <c r="X512" i="22"/>
  <c r="W512" i="22"/>
  <c r="AO511" i="22"/>
  <c r="AN511" i="22"/>
  <c r="AM511" i="22"/>
  <c r="AL511" i="22"/>
  <c r="AK511" i="22"/>
  <c r="AJ511" i="22"/>
  <c r="AI511" i="22"/>
  <c r="AH511" i="22"/>
  <c r="AB511" i="22"/>
  <c r="AA511" i="22"/>
  <c r="Z511" i="22"/>
  <c r="Y511" i="22"/>
  <c r="X511" i="22"/>
  <c r="W511" i="22"/>
  <c r="AO510" i="22"/>
  <c r="AN510" i="22"/>
  <c r="AM510" i="22"/>
  <c r="AL510" i="22"/>
  <c r="AK510" i="22"/>
  <c r="AJ510" i="22"/>
  <c r="AI510" i="22"/>
  <c r="AH510" i="22"/>
  <c r="AB510" i="22"/>
  <c r="AA510" i="22"/>
  <c r="Z510" i="22"/>
  <c r="Y510" i="22"/>
  <c r="X510" i="22"/>
  <c r="W510" i="22"/>
  <c r="AO509" i="22"/>
  <c r="AN509" i="22"/>
  <c r="AM509" i="22"/>
  <c r="AL509" i="22"/>
  <c r="AK509" i="22"/>
  <c r="AJ509" i="22"/>
  <c r="AI509" i="22"/>
  <c r="AH509" i="22"/>
  <c r="AB509" i="22"/>
  <c r="AA509" i="22"/>
  <c r="Z509" i="22"/>
  <c r="Y509" i="22"/>
  <c r="X509" i="22"/>
  <c r="W509" i="22"/>
  <c r="AO508" i="22"/>
  <c r="AN508" i="22"/>
  <c r="AM508" i="22"/>
  <c r="AL508" i="22"/>
  <c r="AK508" i="22"/>
  <c r="AJ508" i="22"/>
  <c r="AI508" i="22"/>
  <c r="AH508" i="22"/>
  <c r="AB508" i="22"/>
  <c r="AA508" i="22"/>
  <c r="Z508" i="22"/>
  <c r="Y508" i="22"/>
  <c r="X508" i="22"/>
  <c r="W508" i="22"/>
  <c r="AO507" i="22"/>
  <c r="AN507" i="22"/>
  <c r="AM507" i="22"/>
  <c r="AL507" i="22"/>
  <c r="AK507" i="22"/>
  <c r="AJ507" i="22"/>
  <c r="AI507" i="22"/>
  <c r="AH507" i="22"/>
  <c r="AB507" i="22"/>
  <c r="AA507" i="22"/>
  <c r="Z507" i="22"/>
  <c r="Y507" i="22"/>
  <c r="X507" i="22"/>
  <c r="W507" i="22"/>
  <c r="AO506" i="22"/>
  <c r="AN506" i="22"/>
  <c r="AM506" i="22"/>
  <c r="AL506" i="22"/>
  <c r="AK506" i="22"/>
  <c r="AJ506" i="22"/>
  <c r="AI506" i="22"/>
  <c r="AH506" i="22"/>
  <c r="AB506" i="22"/>
  <c r="AA506" i="22"/>
  <c r="Z506" i="22"/>
  <c r="Y506" i="22"/>
  <c r="X506" i="22"/>
  <c r="W506" i="22"/>
  <c r="AO505" i="22"/>
  <c r="AN505" i="22"/>
  <c r="AM505" i="22"/>
  <c r="AL505" i="22"/>
  <c r="AK505" i="22"/>
  <c r="AJ505" i="22"/>
  <c r="AI505" i="22"/>
  <c r="AH505" i="22"/>
  <c r="AB505" i="22"/>
  <c r="AA505" i="22"/>
  <c r="Z505" i="22"/>
  <c r="Y505" i="22"/>
  <c r="X505" i="22"/>
  <c r="W505" i="22"/>
  <c r="AO504" i="22"/>
  <c r="AN504" i="22"/>
  <c r="AM504" i="22"/>
  <c r="AL504" i="22"/>
  <c r="AK504" i="22"/>
  <c r="AJ504" i="22"/>
  <c r="AI504" i="22"/>
  <c r="AH504" i="22"/>
  <c r="AB504" i="22"/>
  <c r="AA504" i="22"/>
  <c r="Z504" i="22"/>
  <c r="Y504" i="22"/>
  <c r="X504" i="22"/>
  <c r="W504" i="22"/>
  <c r="AO503" i="22"/>
  <c r="AN503" i="22"/>
  <c r="AM503" i="22"/>
  <c r="AL503" i="22"/>
  <c r="AK503" i="22"/>
  <c r="AJ503" i="22"/>
  <c r="AI503" i="22"/>
  <c r="AH503" i="22"/>
  <c r="AB503" i="22"/>
  <c r="AA503" i="22"/>
  <c r="Z503" i="22"/>
  <c r="Y503" i="22"/>
  <c r="X503" i="22"/>
  <c r="W503" i="22"/>
  <c r="AO502" i="22"/>
  <c r="AN502" i="22"/>
  <c r="AM502" i="22"/>
  <c r="AL502" i="22"/>
  <c r="AK502" i="22"/>
  <c r="AJ502" i="22"/>
  <c r="AI502" i="22"/>
  <c r="AH502" i="22"/>
  <c r="AB502" i="22"/>
  <c r="AA502" i="22"/>
  <c r="Z502" i="22"/>
  <c r="Y502" i="22"/>
  <c r="X502" i="22"/>
  <c r="W502" i="22"/>
  <c r="B502" i="22"/>
  <c r="A502" i="22"/>
  <c r="AO501" i="22"/>
  <c r="AN501" i="22"/>
  <c r="AM501" i="22"/>
  <c r="AL501" i="22"/>
  <c r="AK501" i="22"/>
  <c r="AJ501" i="22"/>
  <c r="AI501" i="22"/>
  <c r="AH501" i="22"/>
  <c r="AB501" i="22"/>
  <c r="AA501" i="22"/>
  <c r="Z501" i="22"/>
  <c r="Y501" i="22"/>
  <c r="X501" i="22"/>
  <c r="W501" i="22"/>
  <c r="AO500" i="22"/>
  <c r="AN500" i="22"/>
  <c r="AM500" i="22"/>
  <c r="AL500" i="22"/>
  <c r="AK500" i="22"/>
  <c r="AJ500" i="22"/>
  <c r="AI500" i="22"/>
  <c r="AH500" i="22"/>
  <c r="AB500" i="22"/>
  <c r="AA500" i="22"/>
  <c r="Z500" i="22"/>
  <c r="Y500" i="22"/>
  <c r="X500" i="22"/>
  <c r="W500" i="22"/>
  <c r="AO499" i="22"/>
  <c r="AN499" i="22"/>
  <c r="AM499" i="22"/>
  <c r="AL499" i="22"/>
  <c r="AK499" i="22"/>
  <c r="AJ499" i="22"/>
  <c r="AI499" i="22"/>
  <c r="AH499" i="22"/>
  <c r="AB499" i="22"/>
  <c r="AA499" i="22"/>
  <c r="Z499" i="22"/>
  <c r="Y499" i="22"/>
  <c r="X499" i="22"/>
  <c r="W499" i="22"/>
  <c r="AO498" i="22"/>
  <c r="AN498" i="22"/>
  <c r="AM498" i="22"/>
  <c r="AL498" i="22"/>
  <c r="AK498" i="22"/>
  <c r="AJ498" i="22"/>
  <c r="AI498" i="22"/>
  <c r="AH498" i="22"/>
  <c r="AB498" i="22"/>
  <c r="AA498" i="22"/>
  <c r="Z498" i="22"/>
  <c r="Y498" i="22"/>
  <c r="X498" i="22"/>
  <c r="W498" i="22"/>
  <c r="AO497" i="22"/>
  <c r="AN497" i="22"/>
  <c r="AM497" i="22"/>
  <c r="AL497" i="22"/>
  <c r="AK497" i="22"/>
  <c r="AJ497" i="22"/>
  <c r="AI497" i="22"/>
  <c r="AH497" i="22"/>
  <c r="AB497" i="22"/>
  <c r="AA497" i="22"/>
  <c r="Z497" i="22"/>
  <c r="Y497" i="22"/>
  <c r="X497" i="22"/>
  <c r="W497" i="22"/>
  <c r="AO496" i="22"/>
  <c r="AN496" i="22"/>
  <c r="AM496" i="22"/>
  <c r="AL496" i="22"/>
  <c r="AK496" i="22"/>
  <c r="AJ496" i="22"/>
  <c r="AI496" i="22"/>
  <c r="AH496" i="22"/>
  <c r="AB496" i="22"/>
  <c r="AA496" i="22"/>
  <c r="Z496" i="22"/>
  <c r="Y496" i="22"/>
  <c r="X496" i="22"/>
  <c r="W496" i="22"/>
  <c r="AO495" i="22"/>
  <c r="AN495" i="22"/>
  <c r="AM495" i="22"/>
  <c r="AL495" i="22"/>
  <c r="AK495" i="22"/>
  <c r="AJ495" i="22"/>
  <c r="AI495" i="22"/>
  <c r="AH495" i="22"/>
  <c r="AB495" i="22"/>
  <c r="AA495" i="22"/>
  <c r="Z495" i="22"/>
  <c r="Y495" i="22"/>
  <c r="X495" i="22"/>
  <c r="W495" i="22"/>
  <c r="AO494" i="22"/>
  <c r="AN494" i="22"/>
  <c r="AM494" i="22"/>
  <c r="AL494" i="22"/>
  <c r="AK494" i="22"/>
  <c r="AJ494" i="22"/>
  <c r="AI494" i="22"/>
  <c r="AH494" i="22"/>
  <c r="AB494" i="22"/>
  <c r="AA494" i="22"/>
  <c r="Z494" i="22"/>
  <c r="Y494" i="22"/>
  <c r="X494" i="22"/>
  <c r="W494" i="22"/>
  <c r="AO493" i="22"/>
  <c r="AN493" i="22"/>
  <c r="AM493" i="22"/>
  <c r="AL493" i="22"/>
  <c r="AK493" i="22"/>
  <c r="AJ493" i="22"/>
  <c r="AI493" i="22"/>
  <c r="AH493" i="22"/>
  <c r="AB493" i="22"/>
  <c r="AA493" i="22"/>
  <c r="Z493" i="22"/>
  <c r="Y493" i="22"/>
  <c r="X493" i="22"/>
  <c r="W493" i="22"/>
  <c r="AO492" i="22"/>
  <c r="AN492" i="22"/>
  <c r="AM492" i="22"/>
  <c r="AL492" i="22"/>
  <c r="AK492" i="22"/>
  <c r="AJ492" i="22"/>
  <c r="AI492" i="22"/>
  <c r="AH492" i="22"/>
  <c r="AB492" i="22"/>
  <c r="AA492" i="22"/>
  <c r="Z492" i="22"/>
  <c r="Y492" i="22"/>
  <c r="X492" i="22"/>
  <c r="W492" i="22"/>
  <c r="AO491" i="22"/>
  <c r="AN491" i="22"/>
  <c r="AM491" i="22"/>
  <c r="AL491" i="22"/>
  <c r="AK491" i="22"/>
  <c r="AJ491" i="22"/>
  <c r="AI491" i="22"/>
  <c r="AH491" i="22"/>
  <c r="AB491" i="22"/>
  <c r="AA491" i="22"/>
  <c r="Z491" i="22"/>
  <c r="Y491" i="22"/>
  <c r="X491" i="22"/>
  <c r="W491" i="22"/>
  <c r="AO490" i="22"/>
  <c r="AN490" i="22"/>
  <c r="AM490" i="22"/>
  <c r="AL490" i="22"/>
  <c r="AK490" i="22"/>
  <c r="AJ490" i="22"/>
  <c r="AI490" i="22"/>
  <c r="AH490" i="22"/>
  <c r="AB490" i="22"/>
  <c r="AA490" i="22"/>
  <c r="Z490" i="22"/>
  <c r="Y490" i="22"/>
  <c r="X490" i="22"/>
  <c r="W490" i="22"/>
  <c r="B490" i="22"/>
  <c r="A490" i="22"/>
  <c r="AO489" i="22"/>
  <c r="AN489" i="22"/>
  <c r="AM489" i="22"/>
  <c r="AL489" i="22"/>
  <c r="AK489" i="22"/>
  <c r="AJ489" i="22"/>
  <c r="AI489" i="22"/>
  <c r="AH489" i="22"/>
  <c r="AB489" i="22"/>
  <c r="AA489" i="22"/>
  <c r="Z489" i="22"/>
  <c r="Y489" i="22"/>
  <c r="X489" i="22"/>
  <c r="W489" i="22"/>
  <c r="AO488" i="22"/>
  <c r="AN488" i="22"/>
  <c r="AM488" i="22"/>
  <c r="AL488" i="22"/>
  <c r="AK488" i="22"/>
  <c r="AJ488" i="22"/>
  <c r="AI488" i="22"/>
  <c r="AH488" i="22"/>
  <c r="AB488" i="22"/>
  <c r="AA488" i="22"/>
  <c r="Z488" i="22"/>
  <c r="Y488" i="22"/>
  <c r="X488" i="22"/>
  <c r="W488" i="22"/>
  <c r="AO487" i="22"/>
  <c r="AN487" i="22"/>
  <c r="AM487" i="22"/>
  <c r="AL487" i="22"/>
  <c r="AK487" i="22"/>
  <c r="AJ487" i="22"/>
  <c r="AI487" i="22"/>
  <c r="AH487" i="22"/>
  <c r="AB487" i="22"/>
  <c r="AA487" i="22"/>
  <c r="Z487" i="22"/>
  <c r="Y487" i="22"/>
  <c r="X487" i="22"/>
  <c r="W487" i="22"/>
  <c r="AO486" i="22"/>
  <c r="AN486" i="22"/>
  <c r="AM486" i="22"/>
  <c r="AL486" i="22"/>
  <c r="AK486" i="22"/>
  <c r="AJ486" i="22"/>
  <c r="AI486" i="22"/>
  <c r="AH486" i="22"/>
  <c r="AB486" i="22"/>
  <c r="AA486" i="22"/>
  <c r="Z486" i="22"/>
  <c r="Y486" i="22"/>
  <c r="X486" i="22"/>
  <c r="W486" i="22"/>
  <c r="AO485" i="22"/>
  <c r="AN485" i="22"/>
  <c r="AM485" i="22"/>
  <c r="AL485" i="22"/>
  <c r="AK485" i="22"/>
  <c r="AJ485" i="22"/>
  <c r="AI485" i="22"/>
  <c r="AH485" i="22"/>
  <c r="AB485" i="22"/>
  <c r="AA485" i="22"/>
  <c r="Z485" i="22"/>
  <c r="Y485" i="22"/>
  <c r="X485" i="22"/>
  <c r="W485" i="22"/>
  <c r="AO484" i="22"/>
  <c r="AN484" i="22"/>
  <c r="AM484" i="22"/>
  <c r="AL484" i="22"/>
  <c r="AK484" i="22"/>
  <c r="AJ484" i="22"/>
  <c r="AI484" i="22"/>
  <c r="AH484" i="22"/>
  <c r="AB484" i="22"/>
  <c r="AA484" i="22"/>
  <c r="Z484" i="22"/>
  <c r="Y484" i="22"/>
  <c r="X484" i="22"/>
  <c r="W484" i="22"/>
  <c r="AO483" i="22"/>
  <c r="AN483" i="22"/>
  <c r="AM483" i="22"/>
  <c r="AL483" i="22"/>
  <c r="AK483" i="22"/>
  <c r="AJ483" i="22"/>
  <c r="AI483" i="22"/>
  <c r="AH483" i="22"/>
  <c r="AB483" i="22"/>
  <c r="AA483" i="22"/>
  <c r="Z483" i="22"/>
  <c r="Y483" i="22"/>
  <c r="X483" i="22"/>
  <c r="W483" i="22"/>
  <c r="AO482" i="22"/>
  <c r="AN482" i="22"/>
  <c r="AM482" i="22"/>
  <c r="AL482" i="22"/>
  <c r="AK482" i="22"/>
  <c r="AJ482" i="22"/>
  <c r="AI482" i="22"/>
  <c r="AH482" i="22"/>
  <c r="AB482" i="22"/>
  <c r="AA482" i="22"/>
  <c r="Z482" i="22"/>
  <c r="Y482" i="22"/>
  <c r="X482" i="22"/>
  <c r="W482" i="22"/>
  <c r="AO481" i="22"/>
  <c r="AN481" i="22"/>
  <c r="AM481" i="22"/>
  <c r="AL481" i="22"/>
  <c r="AK481" i="22"/>
  <c r="AJ481" i="22"/>
  <c r="AI481" i="22"/>
  <c r="AH481" i="22"/>
  <c r="AB481" i="22"/>
  <c r="AA481" i="22"/>
  <c r="Z481" i="22"/>
  <c r="Y481" i="22"/>
  <c r="X481" i="22"/>
  <c r="W481" i="22"/>
  <c r="AO480" i="22"/>
  <c r="AN480" i="22"/>
  <c r="AM480" i="22"/>
  <c r="AL480" i="22"/>
  <c r="AK480" i="22"/>
  <c r="AJ480" i="22"/>
  <c r="AI480" i="22"/>
  <c r="AH480" i="22"/>
  <c r="AB480" i="22"/>
  <c r="AA480" i="22"/>
  <c r="Z480" i="22"/>
  <c r="Y480" i="22"/>
  <c r="X480" i="22"/>
  <c r="W480" i="22"/>
  <c r="AO479" i="22"/>
  <c r="AN479" i="22"/>
  <c r="AM479" i="22"/>
  <c r="AL479" i="22"/>
  <c r="AK479" i="22"/>
  <c r="AJ479" i="22"/>
  <c r="AI479" i="22"/>
  <c r="AH479" i="22"/>
  <c r="AB479" i="22"/>
  <c r="AA479" i="22"/>
  <c r="Z479" i="22"/>
  <c r="Y479" i="22"/>
  <c r="X479" i="22"/>
  <c r="W479" i="22"/>
  <c r="AO478" i="22"/>
  <c r="AN478" i="22"/>
  <c r="AM478" i="22"/>
  <c r="AL478" i="22"/>
  <c r="AK478" i="22"/>
  <c r="AJ478" i="22"/>
  <c r="AI478" i="22"/>
  <c r="AH478" i="22"/>
  <c r="AB478" i="22"/>
  <c r="AA478" i="22"/>
  <c r="Z478" i="22"/>
  <c r="Y478" i="22"/>
  <c r="X478" i="22"/>
  <c r="W478" i="22"/>
  <c r="B478" i="22"/>
  <c r="A478" i="22"/>
  <c r="AO477" i="22"/>
  <c r="AN477" i="22"/>
  <c r="AM477" i="22"/>
  <c r="AL477" i="22"/>
  <c r="AK477" i="22"/>
  <c r="AJ477" i="22"/>
  <c r="AI477" i="22"/>
  <c r="AH477" i="22"/>
  <c r="AB477" i="22"/>
  <c r="AA477" i="22"/>
  <c r="Z477" i="22"/>
  <c r="Y477" i="22"/>
  <c r="X477" i="22"/>
  <c r="W477" i="22"/>
  <c r="AO476" i="22"/>
  <c r="AN476" i="22"/>
  <c r="AM476" i="22"/>
  <c r="AL476" i="22"/>
  <c r="AK476" i="22"/>
  <c r="AJ476" i="22"/>
  <c r="AI476" i="22"/>
  <c r="AH476" i="22"/>
  <c r="AB476" i="22"/>
  <c r="AA476" i="22"/>
  <c r="Z476" i="22"/>
  <c r="Y476" i="22"/>
  <c r="X476" i="22"/>
  <c r="W476" i="22"/>
  <c r="AO475" i="22"/>
  <c r="AN475" i="22"/>
  <c r="AM475" i="22"/>
  <c r="AL475" i="22"/>
  <c r="AK475" i="22"/>
  <c r="AJ475" i="22"/>
  <c r="AI475" i="22"/>
  <c r="AH475" i="22"/>
  <c r="AB475" i="22"/>
  <c r="AA475" i="22"/>
  <c r="Z475" i="22"/>
  <c r="Y475" i="22"/>
  <c r="X475" i="22"/>
  <c r="W475" i="22"/>
  <c r="AO474" i="22"/>
  <c r="AN474" i="22"/>
  <c r="AM474" i="22"/>
  <c r="AL474" i="22"/>
  <c r="AK474" i="22"/>
  <c r="AJ474" i="22"/>
  <c r="AI474" i="22"/>
  <c r="AH474" i="22"/>
  <c r="AB474" i="22"/>
  <c r="AA474" i="22"/>
  <c r="Z474" i="22"/>
  <c r="Y474" i="22"/>
  <c r="X474" i="22"/>
  <c r="W474" i="22"/>
  <c r="AO473" i="22"/>
  <c r="AN473" i="22"/>
  <c r="AM473" i="22"/>
  <c r="AL473" i="22"/>
  <c r="AK473" i="22"/>
  <c r="AJ473" i="22"/>
  <c r="AI473" i="22"/>
  <c r="AH473" i="22"/>
  <c r="AB473" i="22"/>
  <c r="AA473" i="22"/>
  <c r="Z473" i="22"/>
  <c r="Y473" i="22"/>
  <c r="X473" i="22"/>
  <c r="W473" i="22"/>
  <c r="AO472" i="22"/>
  <c r="AN472" i="22"/>
  <c r="AM472" i="22"/>
  <c r="AL472" i="22"/>
  <c r="AK472" i="22"/>
  <c r="AJ472" i="22"/>
  <c r="AI472" i="22"/>
  <c r="AH472" i="22"/>
  <c r="AB472" i="22"/>
  <c r="AA472" i="22"/>
  <c r="Z472" i="22"/>
  <c r="Y472" i="22"/>
  <c r="X472" i="22"/>
  <c r="W472" i="22"/>
  <c r="AO471" i="22"/>
  <c r="AN471" i="22"/>
  <c r="AM471" i="22"/>
  <c r="AL471" i="22"/>
  <c r="AK471" i="22"/>
  <c r="AJ471" i="22"/>
  <c r="AI471" i="22"/>
  <c r="AH471" i="22"/>
  <c r="AB471" i="22"/>
  <c r="AA471" i="22"/>
  <c r="Z471" i="22"/>
  <c r="Y471" i="22"/>
  <c r="X471" i="22"/>
  <c r="W471" i="22"/>
  <c r="AO470" i="22"/>
  <c r="AN470" i="22"/>
  <c r="AM470" i="22"/>
  <c r="AL470" i="22"/>
  <c r="AK470" i="22"/>
  <c r="AJ470" i="22"/>
  <c r="AI470" i="22"/>
  <c r="AH470" i="22"/>
  <c r="AB470" i="22"/>
  <c r="AA470" i="22"/>
  <c r="Z470" i="22"/>
  <c r="Y470" i="22"/>
  <c r="X470" i="22"/>
  <c r="W470" i="22"/>
  <c r="AO469" i="22"/>
  <c r="AN469" i="22"/>
  <c r="AM469" i="22"/>
  <c r="AL469" i="22"/>
  <c r="AK469" i="22"/>
  <c r="AJ469" i="22"/>
  <c r="AI469" i="22"/>
  <c r="AH469" i="22"/>
  <c r="AB469" i="22"/>
  <c r="AA469" i="22"/>
  <c r="Z469" i="22"/>
  <c r="Y469" i="22"/>
  <c r="X469" i="22"/>
  <c r="W469" i="22"/>
  <c r="AO468" i="22"/>
  <c r="AN468" i="22"/>
  <c r="AM468" i="22"/>
  <c r="AL468" i="22"/>
  <c r="AK468" i="22"/>
  <c r="AJ468" i="22"/>
  <c r="AI468" i="22"/>
  <c r="AH468" i="22"/>
  <c r="AB468" i="22"/>
  <c r="AA468" i="22"/>
  <c r="Z468" i="22"/>
  <c r="Y468" i="22"/>
  <c r="X468" i="22"/>
  <c r="W468" i="22"/>
  <c r="AO467" i="22"/>
  <c r="AN467" i="22"/>
  <c r="AM467" i="22"/>
  <c r="AL467" i="22"/>
  <c r="AK467" i="22"/>
  <c r="AJ467" i="22"/>
  <c r="AI467" i="22"/>
  <c r="AH467" i="22"/>
  <c r="AB467" i="22"/>
  <c r="AA467" i="22"/>
  <c r="Z467" i="22"/>
  <c r="Y467" i="22"/>
  <c r="X467" i="22"/>
  <c r="W467" i="22"/>
  <c r="AO466" i="22"/>
  <c r="AN466" i="22"/>
  <c r="AM466" i="22"/>
  <c r="AL466" i="22"/>
  <c r="AK466" i="22"/>
  <c r="AJ466" i="22"/>
  <c r="AI466" i="22"/>
  <c r="AH466" i="22"/>
  <c r="AB466" i="22"/>
  <c r="AA466" i="22"/>
  <c r="Z466" i="22"/>
  <c r="Y466" i="22"/>
  <c r="X466" i="22"/>
  <c r="W466" i="22"/>
  <c r="B466" i="22"/>
  <c r="A466" i="22"/>
  <c r="AO465" i="22"/>
  <c r="AN465" i="22"/>
  <c r="AM465" i="22"/>
  <c r="AL465" i="22"/>
  <c r="AK465" i="22"/>
  <c r="AJ465" i="22"/>
  <c r="AI465" i="22"/>
  <c r="AH465" i="22"/>
  <c r="AB465" i="22"/>
  <c r="AA465" i="22"/>
  <c r="Z465" i="22"/>
  <c r="Y465" i="22"/>
  <c r="X465" i="22"/>
  <c r="W465" i="22"/>
  <c r="K465" i="22"/>
  <c r="J465" i="22"/>
  <c r="I465" i="22"/>
  <c r="AO464" i="22"/>
  <c r="AN464" i="22"/>
  <c r="AM464" i="22"/>
  <c r="AL464" i="22"/>
  <c r="AK464" i="22"/>
  <c r="AJ464" i="22"/>
  <c r="AI464" i="22"/>
  <c r="AH464" i="22"/>
  <c r="AB464" i="22"/>
  <c r="AA464" i="22"/>
  <c r="Z464" i="22"/>
  <c r="Y464" i="22"/>
  <c r="X464" i="22"/>
  <c r="W464" i="22"/>
  <c r="K464" i="22"/>
  <c r="J464" i="22"/>
  <c r="I464" i="22"/>
  <c r="AO463" i="22"/>
  <c r="AN463" i="22"/>
  <c r="AM463" i="22"/>
  <c r="AL463" i="22"/>
  <c r="AK463" i="22"/>
  <c r="AJ463" i="22"/>
  <c r="AI463" i="22"/>
  <c r="AH463" i="22"/>
  <c r="AB463" i="22"/>
  <c r="AA463" i="22"/>
  <c r="Z463" i="22"/>
  <c r="Y463" i="22"/>
  <c r="X463" i="22"/>
  <c r="W463" i="22"/>
  <c r="K463" i="22"/>
  <c r="J463" i="22"/>
  <c r="I463" i="22"/>
  <c r="AO462" i="22"/>
  <c r="AN462" i="22"/>
  <c r="AM462" i="22"/>
  <c r="AL462" i="22"/>
  <c r="AK462" i="22"/>
  <c r="AJ462" i="22"/>
  <c r="AI462" i="22"/>
  <c r="AH462" i="22"/>
  <c r="AB462" i="22"/>
  <c r="AA462" i="22"/>
  <c r="Z462" i="22"/>
  <c r="Y462" i="22"/>
  <c r="X462" i="22"/>
  <c r="W462" i="22"/>
  <c r="K462" i="22"/>
  <c r="J462" i="22"/>
  <c r="I462" i="22"/>
  <c r="AO461" i="22"/>
  <c r="AN461" i="22"/>
  <c r="AM461" i="22"/>
  <c r="AL461" i="22"/>
  <c r="AK461" i="22"/>
  <c r="AJ461" i="22"/>
  <c r="AI461" i="22"/>
  <c r="AH461" i="22"/>
  <c r="AB461" i="22"/>
  <c r="AA461" i="22"/>
  <c r="Z461" i="22"/>
  <c r="Y461" i="22"/>
  <c r="X461" i="22"/>
  <c r="W461" i="22"/>
  <c r="K461" i="22"/>
  <c r="J461" i="22"/>
  <c r="I461" i="22"/>
  <c r="AO460" i="22"/>
  <c r="AN460" i="22"/>
  <c r="AM460" i="22"/>
  <c r="AL460" i="22"/>
  <c r="AK460" i="22"/>
  <c r="AJ460" i="22"/>
  <c r="AI460" i="22"/>
  <c r="AH460" i="22"/>
  <c r="AB460" i="22"/>
  <c r="AA460" i="22"/>
  <c r="Z460" i="22"/>
  <c r="Y460" i="22"/>
  <c r="X460" i="22"/>
  <c r="W460" i="22"/>
  <c r="K460" i="22"/>
  <c r="J460" i="22"/>
  <c r="I460" i="22"/>
  <c r="AO459" i="22"/>
  <c r="AN459" i="22"/>
  <c r="AM459" i="22"/>
  <c r="AL459" i="22"/>
  <c r="AK459" i="22"/>
  <c r="AJ459" i="22"/>
  <c r="AI459" i="22"/>
  <c r="AH459" i="22"/>
  <c r="AB459" i="22"/>
  <c r="AA459" i="22"/>
  <c r="Z459" i="22"/>
  <c r="Y459" i="22"/>
  <c r="X459" i="22"/>
  <c r="W459" i="22"/>
  <c r="K459" i="22"/>
  <c r="J459" i="22"/>
  <c r="I459" i="22"/>
  <c r="AO458" i="22"/>
  <c r="AN458" i="22"/>
  <c r="AM458" i="22"/>
  <c r="AL458" i="22"/>
  <c r="AK458" i="22"/>
  <c r="AJ458" i="22"/>
  <c r="AI458" i="22"/>
  <c r="AH458" i="22"/>
  <c r="AB458" i="22"/>
  <c r="AA458" i="22"/>
  <c r="Z458" i="22"/>
  <c r="Y458" i="22"/>
  <c r="X458" i="22"/>
  <c r="W458" i="22"/>
  <c r="K458" i="22"/>
  <c r="J458" i="22"/>
  <c r="I458" i="22"/>
  <c r="AO457" i="22"/>
  <c r="AN457" i="22"/>
  <c r="AM457" i="22"/>
  <c r="AL457" i="22"/>
  <c r="AK457" i="22"/>
  <c r="AJ457" i="22"/>
  <c r="AI457" i="22"/>
  <c r="AH457" i="22"/>
  <c r="AB457" i="22"/>
  <c r="AA457" i="22"/>
  <c r="Z457" i="22"/>
  <c r="Y457" i="22"/>
  <c r="X457" i="22"/>
  <c r="W457" i="22"/>
  <c r="K457" i="22"/>
  <c r="J457" i="22"/>
  <c r="I457" i="22"/>
  <c r="AO456" i="22"/>
  <c r="AN456" i="22"/>
  <c r="AM456" i="22"/>
  <c r="AL456" i="22"/>
  <c r="AK456" i="22"/>
  <c r="AJ456" i="22"/>
  <c r="AI456" i="22"/>
  <c r="AH456" i="22"/>
  <c r="AB456" i="22"/>
  <c r="AA456" i="22"/>
  <c r="Z456" i="22"/>
  <c r="Y456" i="22"/>
  <c r="X456" i="22"/>
  <c r="W456" i="22"/>
  <c r="K456" i="22"/>
  <c r="J456" i="22"/>
  <c r="I456" i="22"/>
  <c r="AO455" i="22"/>
  <c r="AN455" i="22"/>
  <c r="AM455" i="22"/>
  <c r="AL455" i="22"/>
  <c r="AK455" i="22"/>
  <c r="AJ455" i="22"/>
  <c r="AI455" i="22"/>
  <c r="AH455" i="22"/>
  <c r="AB455" i="22"/>
  <c r="AA455" i="22"/>
  <c r="Z455" i="22"/>
  <c r="Y455" i="22"/>
  <c r="X455" i="22"/>
  <c r="W455" i="22"/>
  <c r="K455" i="22"/>
  <c r="J455" i="22"/>
  <c r="I455" i="22"/>
  <c r="AO454" i="22"/>
  <c r="AN454" i="22"/>
  <c r="AM454" i="22"/>
  <c r="AL454" i="22"/>
  <c r="AK454" i="22"/>
  <c r="AJ454" i="22"/>
  <c r="AI454" i="22"/>
  <c r="AH454" i="22"/>
  <c r="AB454" i="22"/>
  <c r="AA454" i="22"/>
  <c r="Z454" i="22"/>
  <c r="Y454" i="22"/>
  <c r="X454" i="22"/>
  <c r="W454" i="22"/>
  <c r="K454" i="22"/>
  <c r="J454" i="22"/>
  <c r="I454" i="22"/>
  <c r="B454" i="22"/>
  <c r="A454" i="22"/>
  <c r="AO453" i="22"/>
  <c r="AN453" i="22"/>
  <c r="AM453" i="22"/>
  <c r="AL453" i="22"/>
  <c r="AK453" i="22"/>
  <c r="AJ453" i="22"/>
  <c r="AI453" i="22"/>
  <c r="AH453" i="22"/>
  <c r="AB453" i="22"/>
  <c r="AA453" i="22"/>
  <c r="Z453" i="22"/>
  <c r="Y453" i="22"/>
  <c r="X453" i="22"/>
  <c r="W453" i="22"/>
  <c r="K453" i="22"/>
  <c r="J453" i="22"/>
  <c r="I453" i="22"/>
  <c r="AO452" i="22"/>
  <c r="AN452" i="22"/>
  <c r="AM452" i="22"/>
  <c r="AL452" i="22"/>
  <c r="AK452" i="22"/>
  <c r="AJ452" i="22"/>
  <c r="AI452" i="22"/>
  <c r="AH452" i="22"/>
  <c r="AB452" i="22"/>
  <c r="AA452" i="22"/>
  <c r="Z452" i="22"/>
  <c r="Y452" i="22"/>
  <c r="X452" i="22"/>
  <c r="W452" i="22"/>
  <c r="K452" i="22"/>
  <c r="J452" i="22"/>
  <c r="I452" i="22"/>
  <c r="AO451" i="22"/>
  <c r="AN451" i="22"/>
  <c r="AM451" i="22"/>
  <c r="AL451" i="22"/>
  <c r="AK451" i="22"/>
  <c r="AJ451" i="22"/>
  <c r="AI451" i="22"/>
  <c r="AH451" i="22"/>
  <c r="AB451" i="22"/>
  <c r="AA451" i="22"/>
  <c r="Z451" i="22"/>
  <c r="Y451" i="22"/>
  <c r="X451" i="22"/>
  <c r="W451" i="22"/>
  <c r="K451" i="22"/>
  <c r="J451" i="22"/>
  <c r="I451" i="22"/>
  <c r="AO450" i="22"/>
  <c r="AN450" i="22"/>
  <c r="AM450" i="22"/>
  <c r="AL450" i="22"/>
  <c r="AK450" i="22"/>
  <c r="AJ450" i="22"/>
  <c r="AI450" i="22"/>
  <c r="AH450" i="22"/>
  <c r="AB450" i="22"/>
  <c r="AA450" i="22"/>
  <c r="Z450" i="22"/>
  <c r="Y450" i="22"/>
  <c r="X450" i="22"/>
  <c r="W450" i="22"/>
  <c r="K450" i="22"/>
  <c r="J450" i="22"/>
  <c r="I450" i="22"/>
  <c r="AO449" i="22"/>
  <c r="AN449" i="22"/>
  <c r="AM449" i="22"/>
  <c r="AL449" i="22"/>
  <c r="AK449" i="22"/>
  <c r="AJ449" i="22"/>
  <c r="AI449" i="22"/>
  <c r="AH449" i="22"/>
  <c r="AB449" i="22"/>
  <c r="AA449" i="22"/>
  <c r="Z449" i="22"/>
  <c r="Y449" i="22"/>
  <c r="X449" i="22"/>
  <c r="W449" i="22"/>
  <c r="K449" i="22"/>
  <c r="J449" i="22"/>
  <c r="I449" i="22"/>
  <c r="AO448" i="22"/>
  <c r="AN448" i="22"/>
  <c r="AM448" i="22"/>
  <c r="AL448" i="22"/>
  <c r="AK448" i="22"/>
  <c r="AJ448" i="22"/>
  <c r="AI448" i="22"/>
  <c r="AH448" i="22"/>
  <c r="AB448" i="22"/>
  <c r="AA448" i="22"/>
  <c r="Z448" i="22"/>
  <c r="Y448" i="22"/>
  <c r="X448" i="22"/>
  <c r="W448" i="22"/>
  <c r="K448" i="22"/>
  <c r="J448" i="22"/>
  <c r="I448" i="22"/>
  <c r="AO447" i="22"/>
  <c r="AN447" i="22"/>
  <c r="AM447" i="22"/>
  <c r="AL447" i="22"/>
  <c r="AK447" i="22"/>
  <c r="AJ447" i="22"/>
  <c r="AI447" i="22"/>
  <c r="AH447" i="22"/>
  <c r="AB447" i="22"/>
  <c r="AA447" i="22"/>
  <c r="Z447" i="22"/>
  <c r="Y447" i="22"/>
  <c r="X447" i="22"/>
  <c r="W447" i="22"/>
  <c r="K447" i="22"/>
  <c r="J447" i="22"/>
  <c r="I447" i="22"/>
  <c r="AO446" i="22"/>
  <c r="AN446" i="22"/>
  <c r="AM446" i="22"/>
  <c r="AL446" i="22"/>
  <c r="AK446" i="22"/>
  <c r="AJ446" i="22"/>
  <c r="AI446" i="22"/>
  <c r="AH446" i="22"/>
  <c r="AB446" i="22"/>
  <c r="AA446" i="22"/>
  <c r="Z446" i="22"/>
  <c r="Y446" i="22"/>
  <c r="X446" i="22"/>
  <c r="W446" i="22"/>
  <c r="K446" i="22"/>
  <c r="J446" i="22"/>
  <c r="I446" i="22"/>
  <c r="AO445" i="22"/>
  <c r="AN445" i="22"/>
  <c r="AM445" i="22"/>
  <c r="AL445" i="22"/>
  <c r="AK445" i="22"/>
  <c r="AJ445" i="22"/>
  <c r="AI445" i="22"/>
  <c r="AH445" i="22"/>
  <c r="AB445" i="22"/>
  <c r="AA445" i="22"/>
  <c r="Z445" i="22"/>
  <c r="Y445" i="22"/>
  <c r="X445" i="22"/>
  <c r="W445" i="22"/>
  <c r="K445" i="22"/>
  <c r="J445" i="22"/>
  <c r="I445" i="22"/>
  <c r="AO444" i="22"/>
  <c r="AN444" i="22"/>
  <c r="AM444" i="22"/>
  <c r="AL444" i="22"/>
  <c r="AK444" i="22"/>
  <c r="AJ444" i="22"/>
  <c r="AI444" i="22"/>
  <c r="AH444" i="22"/>
  <c r="AB444" i="22"/>
  <c r="AA444" i="22"/>
  <c r="Z444" i="22"/>
  <c r="Y444" i="22"/>
  <c r="X444" i="22"/>
  <c r="W444" i="22"/>
  <c r="K444" i="22"/>
  <c r="J444" i="22"/>
  <c r="I444" i="22"/>
  <c r="AO443" i="22"/>
  <c r="AN443" i="22"/>
  <c r="AM443" i="22"/>
  <c r="AL443" i="22"/>
  <c r="AK443" i="22"/>
  <c r="AJ443" i="22"/>
  <c r="AI443" i="22"/>
  <c r="AH443" i="22"/>
  <c r="AB443" i="22"/>
  <c r="AA443" i="22"/>
  <c r="Z443" i="22"/>
  <c r="Y443" i="22"/>
  <c r="X443" i="22"/>
  <c r="W443" i="22"/>
  <c r="K443" i="22"/>
  <c r="J443" i="22"/>
  <c r="I443" i="22"/>
  <c r="AO442" i="22"/>
  <c r="AN442" i="22"/>
  <c r="AM442" i="22"/>
  <c r="AL442" i="22"/>
  <c r="AK442" i="22"/>
  <c r="AJ442" i="22"/>
  <c r="AI442" i="22"/>
  <c r="AH442" i="22"/>
  <c r="AB442" i="22"/>
  <c r="AA442" i="22"/>
  <c r="Z442" i="22"/>
  <c r="Y442" i="22"/>
  <c r="X442" i="22"/>
  <c r="W442" i="22"/>
  <c r="K442" i="22"/>
  <c r="J442" i="22"/>
  <c r="I442" i="22"/>
  <c r="B442" i="22"/>
  <c r="A442" i="22"/>
  <c r="AO441" i="22"/>
  <c r="AN441" i="22"/>
  <c r="AM441" i="22"/>
  <c r="AL441" i="22"/>
  <c r="AK441" i="22"/>
  <c r="AJ441" i="22"/>
  <c r="AI441" i="22"/>
  <c r="AH441" i="22"/>
  <c r="AB441" i="22"/>
  <c r="AA441" i="22"/>
  <c r="Z441" i="22"/>
  <c r="Y441" i="22"/>
  <c r="X441" i="22"/>
  <c r="W441" i="22"/>
  <c r="AO440" i="22"/>
  <c r="AN440" i="22"/>
  <c r="AM440" i="22"/>
  <c r="AL440" i="22"/>
  <c r="AK440" i="22"/>
  <c r="AJ440" i="22"/>
  <c r="AI440" i="22"/>
  <c r="AH440" i="22"/>
  <c r="AB440" i="22"/>
  <c r="AA440" i="22"/>
  <c r="Z440" i="22"/>
  <c r="Y440" i="22"/>
  <c r="X440" i="22"/>
  <c r="W440" i="22"/>
  <c r="AO439" i="22"/>
  <c r="AN439" i="22"/>
  <c r="AM439" i="22"/>
  <c r="AL439" i="22"/>
  <c r="AK439" i="22"/>
  <c r="AJ439" i="22"/>
  <c r="AI439" i="22"/>
  <c r="AH439" i="22"/>
  <c r="AB439" i="22"/>
  <c r="AA439" i="22"/>
  <c r="Z439" i="22"/>
  <c r="Y439" i="22"/>
  <c r="X439" i="22"/>
  <c r="W439" i="22"/>
  <c r="AO438" i="22"/>
  <c r="AN438" i="22"/>
  <c r="AM438" i="22"/>
  <c r="AL438" i="22"/>
  <c r="AK438" i="22"/>
  <c r="AJ438" i="22"/>
  <c r="AI438" i="22"/>
  <c r="AH438" i="22"/>
  <c r="AB438" i="22"/>
  <c r="AA438" i="22"/>
  <c r="Z438" i="22"/>
  <c r="Y438" i="22"/>
  <c r="X438" i="22"/>
  <c r="W438" i="22"/>
  <c r="AO437" i="22"/>
  <c r="AN437" i="22"/>
  <c r="AM437" i="22"/>
  <c r="AL437" i="22"/>
  <c r="AK437" i="22"/>
  <c r="AJ437" i="22"/>
  <c r="AI437" i="22"/>
  <c r="AH437" i="22"/>
  <c r="AB437" i="22"/>
  <c r="AA437" i="22"/>
  <c r="Z437" i="22"/>
  <c r="Y437" i="22"/>
  <c r="X437" i="22"/>
  <c r="W437" i="22"/>
  <c r="AO436" i="22"/>
  <c r="AN436" i="22"/>
  <c r="AM436" i="22"/>
  <c r="AL436" i="22"/>
  <c r="AK436" i="22"/>
  <c r="AJ436" i="22"/>
  <c r="AI436" i="22"/>
  <c r="AH436" i="22"/>
  <c r="AB436" i="22"/>
  <c r="AA436" i="22"/>
  <c r="Z436" i="22"/>
  <c r="Y436" i="22"/>
  <c r="X436" i="22"/>
  <c r="W436" i="22"/>
  <c r="AO435" i="22"/>
  <c r="AN435" i="22"/>
  <c r="AM435" i="22"/>
  <c r="AL435" i="22"/>
  <c r="AK435" i="22"/>
  <c r="AJ435" i="22"/>
  <c r="AI435" i="22"/>
  <c r="AH435" i="22"/>
  <c r="AB435" i="22"/>
  <c r="AA435" i="22"/>
  <c r="Z435" i="22"/>
  <c r="Y435" i="22"/>
  <c r="X435" i="22"/>
  <c r="W435" i="22"/>
  <c r="AO434" i="22"/>
  <c r="AN434" i="22"/>
  <c r="AM434" i="22"/>
  <c r="AL434" i="22"/>
  <c r="AK434" i="22"/>
  <c r="AJ434" i="22"/>
  <c r="AI434" i="22"/>
  <c r="AH434" i="22"/>
  <c r="AB434" i="22"/>
  <c r="AA434" i="22"/>
  <c r="Z434" i="22"/>
  <c r="Y434" i="22"/>
  <c r="X434" i="22"/>
  <c r="W434" i="22"/>
  <c r="AO433" i="22"/>
  <c r="AN433" i="22"/>
  <c r="AM433" i="22"/>
  <c r="AL433" i="22"/>
  <c r="AK433" i="22"/>
  <c r="AJ433" i="22"/>
  <c r="AI433" i="22"/>
  <c r="AH433" i="22"/>
  <c r="AB433" i="22"/>
  <c r="AA433" i="22"/>
  <c r="Z433" i="22"/>
  <c r="Y433" i="22"/>
  <c r="X433" i="22"/>
  <c r="W433" i="22"/>
  <c r="AO432" i="22"/>
  <c r="AN432" i="22"/>
  <c r="AM432" i="22"/>
  <c r="AL432" i="22"/>
  <c r="AK432" i="22"/>
  <c r="AJ432" i="22"/>
  <c r="AI432" i="22"/>
  <c r="AH432" i="22"/>
  <c r="AB432" i="22"/>
  <c r="AA432" i="22"/>
  <c r="Z432" i="22"/>
  <c r="Y432" i="22"/>
  <c r="X432" i="22"/>
  <c r="W432" i="22"/>
  <c r="AO431" i="22"/>
  <c r="AN431" i="22"/>
  <c r="AM431" i="22"/>
  <c r="AL431" i="22"/>
  <c r="AK431" i="22"/>
  <c r="AJ431" i="22"/>
  <c r="AI431" i="22"/>
  <c r="AH431" i="22"/>
  <c r="AB431" i="22"/>
  <c r="AA431" i="22"/>
  <c r="Z431" i="22"/>
  <c r="Y431" i="22"/>
  <c r="X431" i="22"/>
  <c r="W431" i="22"/>
  <c r="AO430" i="22"/>
  <c r="AN430" i="22"/>
  <c r="AM430" i="22"/>
  <c r="AL430" i="22"/>
  <c r="AK430" i="22"/>
  <c r="AJ430" i="22"/>
  <c r="AI430" i="22"/>
  <c r="AH430" i="22"/>
  <c r="AB430" i="22"/>
  <c r="AA430" i="22"/>
  <c r="Z430" i="22"/>
  <c r="Y430" i="22"/>
  <c r="X430" i="22"/>
  <c r="W430" i="22"/>
  <c r="B430" i="22"/>
  <c r="A430" i="22"/>
  <c r="AO429" i="22"/>
  <c r="AN429" i="22"/>
  <c r="AM429" i="22"/>
  <c r="AL429" i="22"/>
  <c r="AK429" i="22"/>
  <c r="AJ429" i="22"/>
  <c r="AI429" i="22"/>
  <c r="AH429" i="22"/>
  <c r="AB429" i="22"/>
  <c r="AA429" i="22"/>
  <c r="Z429" i="22"/>
  <c r="Y429" i="22"/>
  <c r="X429" i="22"/>
  <c r="W429" i="22"/>
  <c r="L429" i="22"/>
  <c r="AF429" i="22" s="1"/>
  <c r="K429" i="22"/>
  <c r="J429" i="22"/>
  <c r="I429" i="22"/>
  <c r="AO428" i="22"/>
  <c r="AN428" i="22"/>
  <c r="AM428" i="22"/>
  <c r="AL428" i="22"/>
  <c r="AK428" i="22"/>
  <c r="AJ428" i="22"/>
  <c r="AI428" i="22"/>
  <c r="AH428" i="22"/>
  <c r="AB428" i="22"/>
  <c r="AA428" i="22"/>
  <c r="Z428" i="22"/>
  <c r="Y428" i="22"/>
  <c r="X428" i="22"/>
  <c r="W428" i="22"/>
  <c r="L428" i="22"/>
  <c r="AF428" i="22" s="1"/>
  <c r="K428" i="22"/>
  <c r="J428" i="22"/>
  <c r="I428" i="22"/>
  <c r="AO427" i="22"/>
  <c r="AN427" i="22"/>
  <c r="AM427" i="22"/>
  <c r="AL427" i="22"/>
  <c r="AK427" i="22"/>
  <c r="AJ427" i="22"/>
  <c r="AI427" i="22"/>
  <c r="AH427" i="22"/>
  <c r="AB427" i="22"/>
  <c r="AA427" i="22"/>
  <c r="Z427" i="22"/>
  <c r="Y427" i="22"/>
  <c r="X427" i="22"/>
  <c r="W427" i="22"/>
  <c r="L427" i="22"/>
  <c r="AF427" i="22" s="1"/>
  <c r="K427" i="22"/>
  <c r="J427" i="22"/>
  <c r="I427" i="22"/>
  <c r="AO426" i="22"/>
  <c r="AN426" i="22"/>
  <c r="AM426" i="22"/>
  <c r="AL426" i="22"/>
  <c r="AK426" i="22"/>
  <c r="AJ426" i="22"/>
  <c r="AI426" i="22"/>
  <c r="AH426" i="22"/>
  <c r="AB426" i="22"/>
  <c r="AA426" i="22"/>
  <c r="Z426" i="22"/>
  <c r="Y426" i="22"/>
  <c r="X426" i="22"/>
  <c r="W426" i="22"/>
  <c r="L426" i="22"/>
  <c r="AF426" i="22" s="1"/>
  <c r="K426" i="22"/>
  <c r="J426" i="22"/>
  <c r="I426" i="22"/>
  <c r="AO425" i="22"/>
  <c r="AN425" i="22"/>
  <c r="AM425" i="22"/>
  <c r="AL425" i="22"/>
  <c r="AK425" i="22"/>
  <c r="AJ425" i="22"/>
  <c r="AI425" i="22"/>
  <c r="AH425" i="22"/>
  <c r="AB425" i="22"/>
  <c r="AA425" i="22"/>
  <c r="Z425" i="22"/>
  <c r="Y425" i="22"/>
  <c r="X425" i="22"/>
  <c r="W425" i="22"/>
  <c r="L425" i="22"/>
  <c r="AF425" i="22" s="1"/>
  <c r="K425" i="22"/>
  <c r="J425" i="22"/>
  <c r="I425" i="22"/>
  <c r="AO424" i="22"/>
  <c r="AN424" i="22"/>
  <c r="AM424" i="22"/>
  <c r="AL424" i="22"/>
  <c r="AK424" i="22"/>
  <c r="AJ424" i="22"/>
  <c r="AI424" i="22"/>
  <c r="AH424" i="22"/>
  <c r="AB424" i="22"/>
  <c r="AA424" i="22"/>
  <c r="Z424" i="22"/>
  <c r="Y424" i="22"/>
  <c r="X424" i="22"/>
  <c r="W424" i="22"/>
  <c r="L424" i="22"/>
  <c r="AF424" i="22" s="1"/>
  <c r="K424" i="22"/>
  <c r="J424" i="22"/>
  <c r="I424" i="22"/>
  <c r="AO423" i="22"/>
  <c r="AN423" i="22"/>
  <c r="AM423" i="22"/>
  <c r="AL423" i="22"/>
  <c r="AK423" i="22"/>
  <c r="AJ423" i="22"/>
  <c r="AI423" i="22"/>
  <c r="AH423" i="22"/>
  <c r="AB423" i="22"/>
  <c r="AA423" i="22"/>
  <c r="Z423" i="22"/>
  <c r="Y423" i="22"/>
  <c r="X423" i="22"/>
  <c r="W423" i="22"/>
  <c r="L423" i="22"/>
  <c r="AF423" i="22" s="1"/>
  <c r="K423" i="22"/>
  <c r="J423" i="22"/>
  <c r="I423" i="22"/>
  <c r="AO422" i="22"/>
  <c r="AN422" i="22"/>
  <c r="AM422" i="22"/>
  <c r="AL422" i="22"/>
  <c r="AK422" i="22"/>
  <c r="AJ422" i="22"/>
  <c r="AI422" i="22"/>
  <c r="AH422" i="22"/>
  <c r="AB422" i="22"/>
  <c r="AA422" i="22"/>
  <c r="Z422" i="22"/>
  <c r="Y422" i="22"/>
  <c r="X422" i="22"/>
  <c r="W422" i="22"/>
  <c r="L422" i="22"/>
  <c r="AF422" i="22" s="1"/>
  <c r="K422" i="22"/>
  <c r="J422" i="22"/>
  <c r="I422" i="22"/>
  <c r="AO421" i="22"/>
  <c r="AN421" i="22"/>
  <c r="AM421" i="22"/>
  <c r="AL421" i="22"/>
  <c r="AK421" i="22"/>
  <c r="AJ421" i="22"/>
  <c r="AI421" i="22"/>
  <c r="AH421" i="22"/>
  <c r="AB421" i="22"/>
  <c r="AA421" i="22"/>
  <c r="Z421" i="22"/>
  <c r="Y421" i="22"/>
  <c r="X421" i="22"/>
  <c r="W421" i="22"/>
  <c r="L421" i="22"/>
  <c r="AF421" i="22" s="1"/>
  <c r="K421" i="22"/>
  <c r="J421" i="22"/>
  <c r="I421" i="22"/>
  <c r="AO420" i="22"/>
  <c r="AN420" i="22"/>
  <c r="AM420" i="22"/>
  <c r="AL420" i="22"/>
  <c r="AK420" i="22"/>
  <c r="AJ420" i="22"/>
  <c r="AI420" i="22"/>
  <c r="AH420" i="22"/>
  <c r="AB420" i="22"/>
  <c r="AA420" i="22"/>
  <c r="Z420" i="22"/>
  <c r="Y420" i="22"/>
  <c r="X420" i="22"/>
  <c r="W420" i="22"/>
  <c r="L420" i="22"/>
  <c r="AF420" i="22" s="1"/>
  <c r="K420" i="22"/>
  <c r="J420" i="22"/>
  <c r="I420" i="22"/>
  <c r="AO419" i="22"/>
  <c r="AN419" i="22"/>
  <c r="AM419" i="22"/>
  <c r="AL419" i="22"/>
  <c r="AK419" i="22"/>
  <c r="AJ419" i="22"/>
  <c r="AI419" i="22"/>
  <c r="AH419" i="22"/>
  <c r="AB419" i="22"/>
  <c r="AA419" i="22"/>
  <c r="Z419" i="22"/>
  <c r="Y419" i="22"/>
  <c r="X419" i="22"/>
  <c r="W419" i="22"/>
  <c r="L419" i="22"/>
  <c r="AF419" i="22" s="1"/>
  <c r="K419" i="22"/>
  <c r="J419" i="22"/>
  <c r="I419" i="22"/>
  <c r="AO418" i="22"/>
  <c r="AN418" i="22"/>
  <c r="AM418" i="22"/>
  <c r="AL418" i="22"/>
  <c r="AK418" i="22"/>
  <c r="AJ418" i="22"/>
  <c r="AI418" i="22"/>
  <c r="AH418" i="22"/>
  <c r="AB418" i="22"/>
  <c r="AA418" i="22"/>
  <c r="Z418" i="22"/>
  <c r="Y418" i="22"/>
  <c r="X418" i="22"/>
  <c r="W418" i="22"/>
  <c r="L418" i="22"/>
  <c r="AF418" i="22" s="1"/>
  <c r="K418" i="22"/>
  <c r="J418" i="22"/>
  <c r="I418" i="22"/>
  <c r="B418" i="22"/>
  <c r="A418" i="22"/>
  <c r="AO417" i="22"/>
  <c r="AN417" i="22"/>
  <c r="AM417" i="22"/>
  <c r="AL417" i="22"/>
  <c r="AK417" i="22"/>
  <c r="AJ417" i="22"/>
  <c r="AI417" i="22"/>
  <c r="AH417" i="22"/>
  <c r="AB417" i="22"/>
  <c r="AA417" i="22"/>
  <c r="Z417" i="22"/>
  <c r="Y417" i="22"/>
  <c r="X417" i="22"/>
  <c r="W417" i="22"/>
  <c r="AO416" i="22"/>
  <c r="AN416" i="22"/>
  <c r="AM416" i="22"/>
  <c r="AL416" i="22"/>
  <c r="AK416" i="22"/>
  <c r="AJ416" i="22"/>
  <c r="AI416" i="22"/>
  <c r="AH416" i="22"/>
  <c r="AB416" i="22"/>
  <c r="AA416" i="22"/>
  <c r="Z416" i="22"/>
  <c r="Y416" i="22"/>
  <c r="X416" i="22"/>
  <c r="W416" i="22"/>
  <c r="AO415" i="22"/>
  <c r="AN415" i="22"/>
  <c r="AM415" i="22"/>
  <c r="AL415" i="22"/>
  <c r="AK415" i="22"/>
  <c r="AJ415" i="22"/>
  <c r="AI415" i="22"/>
  <c r="AH415" i="22"/>
  <c r="AB415" i="22"/>
  <c r="AA415" i="22"/>
  <c r="Z415" i="22"/>
  <c r="Y415" i="22"/>
  <c r="X415" i="22"/>
  <c r="W415" i="22"/>
  <c r="AO414" i="22"/>
  <c r="AN414" i="22"/>
  <c r="AM414" i="22"/>
  <c r="AL414" i="22"/>
  <c r="AK414" i="22"/>
  <c r="AJ414" i="22"/>
  <c r="AI414" i="22"/>
  <c r="AH414" i="22"/>
  <c r="AB414" i="22"/>
  <c r="AA414" i="22"/>
  <c r="Z414" i="22"/>
  <c r="Y414" i="22"/>
  <c r="X414" i="22"/>
  <c r="W414" i="22"/>
  <c r="AO413" i="22"/>
  <c r="AN413" i="22"/>
  <c r="AM413" i="22"/>
  <c r="AL413" i="22"/>
  <c r="AK413" i="22"/>
  <c r="AJ413" i="22"/>
  <c r="AI413" i="22"/>
  <c r="AH413" i="22"/>
  <c r="AB413" i="22"/>
  <c r="AA413" i="22"/>
  <c r="Z413" i="22"/>
  <c r="Y413" i="22"/>
  <c r="X413" i="22"/>
  <c r="W413" i="22"/>
  <c r="AO412" i="22"/>
  <c r="AN412" i="22"/>
  <c r="AM412" i="22"/>
  <c r="AL412" i="22"/>
  <c r="AK412" i="22"/>
  <c r="AJ412" i="22"/>
  <c r="AI412" i="22"/>
  <c r="AH412" i="22"/>
  <c r="AB412" i="22"/>
  <c r="AA412" i="22"/>
  <c r="Z412" i="22"/>
  <c r="Y412" i="22"/>
  <c r="X412" i="22"/>
  <c r="W412" i="22"/>
  <c r="AO411" i="22"/>
  <c r="AN411" i="22"/>
  <c r="AM411" i="22"/>
  <c r="AL411" i="22"/>
  <c r="AK411" i="22"/>
  <c r="AJ411" i="22"/>
  <c r="AI411" i="22"/>
  <c r="AH411" i="22"/>
  <c r="AB411" i="22"/>
  <c r="AA411" i="22"/>
  <c r="Z411" i="22"/>
  <c r="Y411" i="22"/>
  <c r="X411" i="22"/>
  <c r="W411" i="22"/>
  <c r="AO410" i="22"/>
  <c r="AN410" i="22"/>
  <c r="AM410" i="22"/>
  <c r="AL410" i="22"/>
  <c r="AK410" i="22"/>
  <c r="AJ410" i="22"/>
  <c r="AI410" i="22"/>
  <c r="AH410" i="22"/>
  <c r="AB410" i="22"/>
  <c r="AA410" i="22"/>
  <c r="Z410" i="22"/>
  <c r="Y410" i="22"/>
  <c r="X410" i="22"/>
  <c r="W410" i="22"/>
  <c r="AO409" i="22"/>
  <c r="AN409" i="22"/>
  <c r="AM409" i="22"/>
  <c r="AL409" i="22"/>
  <c r="AK409" i="22"/>
  <c r="AJ409" i="22"/>
  <c r="AI409" i="22"/>
  <c r="AH409" i="22"/>
  <c r="AB409" i="22"/>
  <c r="AA409" i="22"/>
  <c r="Z409" i="22"/>
  <c r="Y409" i="22"/>
  <c r="X409" i="22"/>
  <c r="W409" i="22"/>
  <c r="AO408" i="22"/>
  <c r="AN408" i="22"/>
  <c r="AM408" i="22"/>
  <c r="AL408" i="22"/>
  <c r="AK408" i="22"/>
  <c r="AJ408" i="22"/>
  <c r="AI408" i="22"/>
  <c r="AH408" i="22"/>
  <c r="AB408" i="22"/>
  <c r="AA408" i="22"/>
  <c r="Z408" i="22"/>
  <c r="Y408" i="22"/>
  <c r="X408" i="22"/>
  <c r="W408" i="22"/>
  <c r="AO407" i="22"/>
  <c r="AN407" i="22"/>
  <c r="AM407" i="22"/>
  <c r="AL407" i="22"/>
  <c r="AK407" i="22"/>
  <c r="AJ407" i="22"/>
  <c r="AI407" i="22"/>
  <c r="AH407" i="22"/>
  <c r="AB407" i="22"/>
  <c r="AA407" i="22"/>
  <c r="Z407" i="22"/>
  <c r="Y407" i="22"/>
  <c r="X407" i="22"/>
  <c r="W407" i="22"/>
  <c r="AO406" i="22"/>
  <c r="AN406" i="22"/>
  <c r="AM406" i="22"/>
  <c r="AL406" i="22"/>
  <c r="AK406" i="22"/>
  <c r="AJ406" i="22"/>
  <c r="AI406" i="22"/>
  <c r="AH406" i="22"/>
  <c r="AB406" i="22"/>
  <c r="AA406" i="22"/>
  <c r="Z406" i="22"/>
  <c r="Y406" i="22"/>
  <c r="X406" i="22"/>
  <c r="W406" i="22"/>
  <c r="B406" i="22"/>
  <c r="A406" i="22"/>
  <c r="AO405" i="22"/>
  <c r="AN405" i="22"/>
  <c r="AM405" i="22"/>
  <c r="AL405" i="22"/>
  <c r="AK405" i="22"/>
  <c r="AJ405" i="22"/>
  <c r="AI405" i="22"/>
  <c r="AH405" i="22"/>
  <c r="AB405" i="22"/>
  <c r="AA405" i="22"/>
  <c r="Z405" i="22"/>
  <c r="Y405" i="22"/>
  <c r="X405" i="22"/>
  <c r="W405" i="22"/>
  <c r="AO404" i="22"/>
  <c r="AN404" i="22"/>
  <c r="AM404" i="22"/>
  <c r="AL404" i="22"/>
  <c r="AK404" i="22"/>
  <c r="AJ404" i="22"/>
  <c r="AI404" i="22"/>
  <c r="AH404" i="22"/>
  <c r="AB404" i="22"/>
  <c r="AA404" i="22"/>
  <c r="Z404" i="22"/>
  <c r="Y404" i="22"/>
  <c r="X404" i="22"/>
  <c r="W404" i="22"/>
  <c r="AO403" i="22"/>
  <c r="AN403" i="22"/>
  <c r="AM403" i="22"/>
  <c r="AL403" i="22"/>
  <c r="AK403" i="22"/>
  <c r="AJ403" i="22"/>
  <c r="AI403" i="22"/>
  <c r="AH403" i="22"/>
  <c r="AB403" i="22"/>
  <c r="AA403" i="22"/>
  <c r="Z403" i="22"/>
  <c r="Y403" i="22"/>
  <c r="X403" i="22"/>
  <c r="W403" i="22"/>
  <c r="AO402" i="22"/>
  <c r="AN402" i="22"/>
  <c r="AM402" i="22"/>
  <c r="AL402" i="22"/>
  <c r="AK402" i="22"/>
  <c r="AJ402" i="22"/>
  <c r="AI402" i="22"/>
  <c r="AH402" i="22"/>
  <c r="AB402" i="22"/>
  <c r="AA402" i="22"/>
  <c r="Z402" i="22"/>
  <c r="Y402" i="22"/>
  <c r="X402" i="22"/>
  <c r="W402" i="22"/>
  <c r="AO401" i="22"/>
  <c r="AN401" i="22"/>
  <c r="AM401" i="22"/>
  <c r="AL401" i="22"/>
  <c r="AK401" i="22"/>
  <c r="AJ401" i="22"/>
  <c r="AI401" i="22"/>
  <c r="AH401" i="22"/>
  <c r="AB401" i="22"/>
  <c r="AA401" i="22"/>
  <c r="Z401" i="22"/>
  <c r="Y401" i="22"/>
  <c r="X401" i="22"/>
  <c r="W401" i="22"/>
  <c r="AO400" i="22"/>
  <c r="AN400" i="22"/>
  <c r="AM400" i="22"/>
  <c r="AL400" i="22"/>
  <c r="AK400" i="22"/>
  <c r="AJ400" i="22"/>
  <c r="AI400" i="22"/>
  <c r="AH400" i="22"/>
  <c r="AB400" i="22"/>
  <c r="AA400" i="22"/>
  <c r="Z400" i="22"/>
  <c r="Y400" i="22"/>
  <c r="X400" i="22"/>
  <c r="W400" i="22"/>
  <c r="AO399" i="22"/>
  <c r="AN399" i="22"/>
  <c r="AM399" i="22"/>
  <c r="AL399" i="22"/>
  <c r="AK399" i="22"/>
  <c r="AJ399" i="22"/>
  <c r="AI399" i="22"/>
  <c r="AH399" i="22"/>
  <c r="AB399" i="22"/>
  <c r="AA399" i="22"/>
  <c r="Z399" i="22"/>
  <c r="Y399" i="22"/>
  <c r="X399" i="22"/>
  <c r="W399" i="22"/>
  <c r="AO398" i="22"/>
  <c r="AN398" i="22"/>
  <c r="AM398" i="22"/>
  <c r="AL398" i="22"/>
  <c r="AK398" i="22"/>
  <c r="AJ398" i="22"/>
  <c r="AI398" i="22"/>
  <c r="AH398" i="22"/>
  <c r="AB398" i="22"/>
  <c r="AA398" i="22"/>
  <c r="Z398" i="22"/>
  <c r="Y398" i="22"/>
  <c r="X398" i="22"/>
  <c r="W398" i="22"/>
  <c r="AO397" i="22"/>
  <c r="AN397" i="22"/>
  <c r="AM397" i="22"/>
  <c r="AL397" i="22"/>
  <c r="AK397" i="22"/>
  <c r="AJ397" i="22"/>
  <c r="AI397" i="22"/>
  <c r="AH397" i="22"/>
  <c r="AB397" i="22"/>
  <c r="AA397" i="22"/>
  <c r="Z397" i="22"/>
  <c r="Y397" i="22"/>
  <c r="X397" i="22"/>
  <c r="W397" i="22"/>
  <c r="AO396" i="22"/>
  <c r="AN396" i="22"/>
  <c r="AM396" i="22"/>
  <c r="AL396" i="22"/>
  <c r="AK396" i="22"/>
  <c r="AJ396" i="22"/>
  <c r="AI396" i="22"/>
  <c r="AH396" i="22"/>
  <c r="AB396" i="22"/>
  <c r="AA396" i="22"/>
  <c r="Z396" i="22"/>
  <c r="Y396" i="22"/>
  <c r="X396" i="22"/>
  <c r="W396" i="22"/>
  <c r="AO395" i="22"/>
  <c r="AN395" i="22"/>
  <c r="AM395" i="22"/>
  <c r="AL395" i="22"/>
  <c r="AK395" i="22"/>
  <c r="AJ395" i="22"/>
  <c r="AI395" i="22"/>
  <c r="AH395" i="22"/>
  <c r="AB395" i="22"/>
  <c r="AA395" i="22"/>
  <c r="Z395" i="22"/>
  <c r="Y395" i="22"/>
  <c r="X395" i="22"/>
  <c r="W395" i="22"/>
  <c r="AO394" i="22"/>
  <c r="AN394" i="22"/>
  <c r="AM394" i="22"/>
  <c r="AL394" i="22"/>
  <c r="AK394" i="22"/>
  <c r="AJ394" i="22"/>
  <c r="AI394" i="22"/>
  <c r="AH394" i="22"/>
  <c r="AB394" i="22"/>
  <c r="AA394" i="22"/>
  <c r="Z394" i="22"/>
  <c r="Y394" i="22"/>
  <c r="X394" i="22"/>
  <c r="W394" i="22"/>
  <c r="B394" i="22"/>
  <c r="A394" i="22"/>
  <c r="AO393" i="22"/>
  <c r="AN393" i="22"/>
  <c r="AM393" i="22"/>
  <c r="AL393" i="22"/>
  <c r="AK393" i="22"/>
  <c r="AJ393" i="22"/>
  <c r="AI393" i="22"/>
  <c r="AH393" i="22"/>
  <c r="AB393" i="22"/>
  <c r="AA393" i="22"/>
  <c r="Z393" i="22"/>
  <c r="Y393" i="22"/>
  <c r="X393" i="22"/>
  <c r="W393" i="22"/>
  <c r="AO392" i="22"/>
  <c r="AN392" i="22"/>
  <c r="AM392" i="22"/>
  <c r="AL392" i="22"/>
  <c r="AK392" i="22"/>
  <c r="AJ392" i="22"/>
  <c r="AI392" i="22"/>
  <c r="AH392" i="22"/>
  <c r="AB392" i="22"/>
  <c r="AA392" i="22"/>
  <c r="Z392" i="22"/>
  <c r="Y392" i="22"/>
  <c r="X392" i="22"/>
  <c r="W392" i="22"/>
  <c r="AO391" i="22"/>
  <c r="AN391" i="22"/>
  <c r="AM391" i="22"/>
  <c r="AL391" i="22"/>
  <c r="AK391" i="22"/>
  <c r="AJ391" i="22"/>
  <c r="AI391" i="22"/>
  <c r="AH391" i="22"/>
  <c r="AB391" i="22"/>
  <c r="AA391" i="22"/>
  <c r="Z391" i="22"/>
  <c r="Y391" i="22"/>
  <c r="X391" i="22"/>
  <c r="W391" i="22"/>
  <c r="AO390" i="22"/>
  <c r="AN390" i="22"/>
  <c r="AM390" i="22"/>
  <c r="AL390" i="22"/>
  <c r="AK390" i="22"/>
  <c r="AJ390" i="22"/>
  <c r="AI390" i="22"/>
  <c r="AH390" i="22"/>
  <c r="AB390" i="22"/>
  <c r="AA390" i="22"/>
  <c r="Z390" i="22"/>
  <c r="Y390" i="22"/>
  <c r="X390" i="22"/>
  <c r="W390" i="22"/>
  <c r="AO389" i="22"/>
  <c r="AN389" i="22"/>
  <c r="AM389" i="22"/>
  <c r="AL389" i="22"/>
  <c r="AK389" i="22"/>
  <c r="AJ389" i="22"/>
  <c r="AI389" i="22"/>
  <c r="AH389" i="22"/>
  <c r="AB389" i="22"/>
  <c r="AA389" i="22"/>
  <c r="Z389" i="22"/>
  <c r="Y389" i="22"/>
  <c r="X389" i="22"/>
  <c r="W389" i="22"/>
  <c r="AO388" i="22"/>
  <c r="AN388" i="22"/>
  <c r="AM388" i="22"/>
  <c r="AL388" i="22"/>
  <c r="AK388" i="22"/>
  <c r="AJ388" i="22"/>
  <c r="AI388" i="22"/>
  <c r="AH388" i="22"/>
  <c r="AB388" i="22"/>
  <c r="AA388" i="22"/>
  <c r="Z388" i="22"/>
  <c r="Y388" i="22"/>
  <c r="X388" i="22"/>
  <c r="W388" i="22"/>
  <c r="AO387" i="22"/>
  <c r="AN387" i="22"/>
  <c r="AM387" i="22"/>
  <c r="AL387" i="22"/>
  <c r="AK387" i="22"/>
  <c r="AJ387" i="22"/>
  <c r="AI387" i="22"/>
  <c r="AH387" i="22"/>
  <c r="AB387" i="22"/>
  <c r="AA387" i="22"/>
  <c r="Z387" i="22"/>
  <c r="Y387" i="22"/>
  <c r="X387" i="22"/>
  <c r="W387" i="22"/>
  <c r="AO386" i="22"/>
  <c r="AN386" i="22"/>
  <c r="AM386" i="22"/>
  <c r="AL386" i="22"/>
  <c r="AK386" i="22"/>
  <c r="AJ386" i="22"/>
  <c r="AI386" i="22"/>
  <c r="AH386" i="22"/>
  <c r="AB386" i="22"/>
  <c r="AA386" i="22"/>
  <c r="Z386" i="22"/>
  <c r="Y386" i="22"/>
  <c r="X386" i="22"/>
  <c r="W386" i="22"/>
  <c r="AO385" i="22"/>
  <c r="AN385" i="22"/>
  <c r="AM385" i="22"/>
  <c r="AL385" i="22"/>
  <c r="AK385" i="22"/>
  <c r="AJ385" i="22"/>
  <c r="AI385" i="22"/>
  <c r="AH385" i="22"/>
  <c r="AB385" i="22"/>
  <c r="AA385" i="22"/>
  <c r="Z385" i="22"/>
  <c r="Y385" i="22"/>
  <c r="X385" i="22"/>
  <c r="W385" i="22"/>
  <c r="AO384" i="22"/>
  <c r="AN384" i="22"/>
  <c r="AM384" i="22"/>
  <c r="AL384" i="22"/>
  <c r="AK384" i="22"/>
  <c r="AJ384" i="22"/>
  <c r="AI384" i="22"/>
  <c r="AH384" i="22"/>
  <c r="AB384" i="22"/>
  <c r="AA384" i="22"/>
  <c r="Z384" i="22"/>
  <c r="Y384" i="22"/>
  <c r="X384" i="22"/>
  <c r="W384" i="22"/>
  <c r="AO383" i="22"/>
  <c r="AN383" i="22"/>
  <c r="AM383" i="22"/>
  <c r="AL383" i="22"/>
  <c r="AK383" i="22"/>
  <c r="AJ383" i="22"/>
  <c r="AI383" i="22"/>
  <c r="AH383" i="22"/>
  <c r="AB383" i="22"/>
  <c r="AA383" i="22"/>
  <c r="Z383" i="22"/>
  <c r="Y383" i="22"/>
  <c r="X383" i="22"/>
  <c r="W383" i="22"/>
  <c r="AO382" i="22"/>
  <c r="AN382" i="22"/>
  <c r="AM382" i="22"/>
  <c r="AL382" i="22"/>
  <c r="AK382" i="22"/>
  <c r="AJ382" i="22"/>
  <c r="AI382" i="22"/>
  <c r="AH382" i="22"/>
  <c r="AB382" i="22"/>
  <c r="AA382" i="22"/>
  <c r="Z382" i="22"/>
  <c r="Y382" i="22"/>
  <c r="X382" i="22"/>
  <c r="W382" i="22"/>
  <c r="B382" i="22"/>
  <c r="A382" i="22"/>
  <c r="AO369" i="22"/>
  <c r="AN369" i="22"/>
  <c r="AM369" i="22"/>
  <c r="AL369" i="22"/>
  <c r="AK369" i="22"/>
  <c r="AJ369" i="22"/>
  <c r="AI369" i="22"/>
  <c r="AH369" i="22"/>
  <c r="AB369" i="22"/>
  <c r="AA369" i="22"/>
  <c r="Z369" i="22"/>
  <c r="Y369" i="22"/>
  <c r="X369" i="22"/>
  <c r="W369" i="22"/>
  <c r="L369" i="22"/>
  <c r="AF369" i="22" s="1"/>
  <c r="K369" i="22"/>
  <c r="J369" i="22"/>
  <c r="I369" i="22"/>
  <c r="AO368" i="22"/>
  <c r="AN368" i="22"/>
  <c r="AM368" i="22"/>
  <c r="AL368" i="22"/>
  <c r="AK368" i="22"/>
  <c r="AJ368" i="22"/>
  <c r="AI368" i="22"/>
  <c r="AH368" i="22"/>
  <c r="AB368" i="22"/>
  <c r="AA368" i="22"/>
  <c r="Z368" i="22"/>
  <c r="Y368" i="22"/>
  <c r="X368" i="22"/>
  <c r="W368" i="22"/>
  <c r="L368" i="22"/>
  <c r="AF368" i="22" s="1"/>
  <c r="K368" i="22"/>
  <c r="J368" i="22"/>
  <c r="I368" i="22"/>
  <c r="AO367" i="22"/>
  <c r="AN367" i="22"/>
  <c r="AM367" i="22"/>
  <c r="AL367" i="22"/>
  <c r="AK367" i="22"/>
  <c r="AJ367" i="22"/>
  <c r="AI367" i="22"/>
  <c r="AH367" i="22"/>
  <c r="AB367" i="22"/>
  <c r="AA367" i="22"/>
  <c r="Z367" i="22"/>
  <c r="Y367" i="22"/>
  <c r="X367" i="22"/>
  <c r="W367" i="22"/>
  <c r="L367" i="22"/>
  <c r="AF367" i="22" s="1"/>
  <c r="K367" i="22"/>
  <c r="J367" i="22"/>
  <c r="I367" i="22"/>
  <c r="AO366" i="22"/>
  <c r="AN366" i="22"/>
  <c r="AM366" i="22"/>
  <c r="AL366" i="22"/>
  <c r="AK366" i="22"/>
  <c r="AJ366" i="22"/>
  <c r="AI366" i="22"/>
  <c r="AH366" i="22"/>
  <c r="AB366" i="22"/>
  <c r="AA366" i="22"/>
  <c r="Z366" i="22"/>
  <c r="Y366" i="22"/>
  <c r="X366" i="22"/>
  <c r="W366" i="22"/>
  <c r="L366" i="22"/>
  <c r="AF366" i="22" s="1"/>
  <c r="K366" i="22"/>
  <c r="J366" i="22"/>
  <c r="I366" i="22"/>
  <c r="AO365" i="22"/>
  <c r="AN365" i="22"/>
  <c r="AM365" i="22"/>
  <c r="AL365" i="22"/>
  <c r="AK365" i="22"/>
  <c r="AJ365" i="22"/>
  <c r="AI365" i="22"/>
  <c r="AH365" i="22"/>
  <c r="AB365" i="22"/>
  <c r="AA365" i="22"/>
  <c r="Z365" i="22"/>
  <c r="Y365" i="22"/>
  <c r="X365" i="22"/>
  <c r="W365" i="22"/>
  <c r="L365" i="22"/>
  <c r="AF365" i="22" s="1"/>
  <c r="K365" i="22"/>
  <c r="J365" i="22"/>
  <c r="I365" i="22"/>
  <c r="AO364" i="22"/>
  <c r="AN364" i="22"/>
  <c r="AM364" i="22"/>
  <c r="AL364" i="22"/>
  <c r="AK364" i="22"/>
  <c r="AJ364" i="22"/>
  <c r="AI364" i="22"/>
  <c r="AH364" i="22"/>
  <c r="AB364" i="22"/>
  <c r="AA364" i="22"/>
  <c r="Z364" i="22"/>
  <c r="Y364" i="22"/>
  <c r="X364" i="22"/>
  <c r="W364" i="22"/>
  <c r="L364" i="22"/>
  <c r="AF364" i="22" s="1"/>
  <c r="K364" i="22"/>
  <c r="J364" i="22"/>
  <c r="I364" i="22"/>
  <c r="AO363" i="22"/>
  <c r="AN363" i="22"/>
  <c r="AM363" i="22"/>
  <c r="AL363" i="22"/>
  <c r="AK363" i="22"/>
  <c r="AJ363" i="22"/>
  <c r="AI363" i="22"/>
  <c r="AH363" i="22"/>
  <c r="AB363" i="22"/>
  <c r="AA363" i="22"/>
  <c r="Z363" i="22"/>
  <c r="Y363" i="22"/>
  <c r="X363" i="22"/>
  <c r="W363" i="22"/>
  <c r="L363" i="22"/>
  <c r="AF363" i="22" s="1"/>
  <c r="K363" i="22"/>
  <c r="J363" i="22"/>
  <c r="I363" i="22"/>
  <c r="AO362" i="22"/>
  <c r="AN362" i="22"/>
  <c r="AM362" i="22"/>
  <c r="AL362" i="22"/>
  <c r="AK362" i="22"/>
  <c r="AJ362" i="22"/>
  <c r="AI362" i="22"/>
  <c r="AH362" i="22"/>
  <c r="AB362" i="22"/>
  <c r="AA362" i="22"/>
  <c r="Z362" i="22"/>
  <c r="Y362" i="22"/>
  <c r="X362" i="22"/>
  <c r="W362" i="22"/>
  <c r="L362" i="22"/>
  <c r="AF362" i="22" s="1"/>
  <c r="K362" i="22"/>
  <c r="J362" i="22"/>
  <c r="I362" i="22"/>
  <c r="AO361" i="22"/>
  <c r="AN361" i="22"/>
  <c r="AM361" i="22"/>
  <c r="AL361" i="22"/>
  <c r="AK361" i="22"/>
  <c r="AJ361" i="22"/>
  <c r="AI361" i="22"/>
  <c r="AH361" i="22"/>
  <c r="AB361" i="22"/>
  <c r="AA361" i="22"/>
  <c r="Z361" i="22"/>
  <c r="Y361" i="22"/>
  <c r="X361" i="22"/>
  <c r="W361" i="22"/>
  <c r="L361" i="22"/>
  <c r="AF361" i="22" s="1"/>
  <c r="K361" i="22"/>
  <c r="J361" i="22"/>
  <c r="I361" i="22"/>
  <c r="AO360" i="22"/>
  <c r="AN360" i="22"/>
  <c r="AM360" i="22"/>
  <c r="AL360" i="22"/>
  <c r="AK360" i="22"/>
  <c r="AJ360" i="22"/>
  <c r="AI360" i="22"/>
  <c r="AH360" i="22"/>
  <c r="AB360" i="22"/>
  <c r="AA360" i="22"/>
  <c r="Z360" i="22"/>
  <c r="Y360" i="22"/>
  <c r="X360" i="22"/>
  <c r="W360" i="22"/>
  <c r="L360" i="22"/>
  <c r="AF360" i="22" s="1"/>
  <c r="K360" i="22"/>
  <c r="J360" i="22"/>
  <c r="I360" i="22"/>
  <c r="AO359" i="22"/>
  <c r="AN359" i="22"/>
  <c r="AM359" i="22"/>
  <c r="AL359" i="22"/>
  <c r="AK359" i="22"/>
  <c r="AJ359" i="22"/>
  <c r="AI359" i="22"/>
  <c r="AH359" i="22"/>
  <c r="AB359" i="22"/>
  <c r="AA359" i="22"/>
  <c r="Z359" i="22"/>
  <c r="Y359" i="22"/>
  <c r="X359" i="22"/>
  <c r="W359" i="22"/>
  <c r="L359" i="22"/>
  <c r="AF359" i="22" s="1"/>
  <c r="K359" i="22"/>
  <c r="J359" i="22"/>
  <c r="I359" i="22"/>
  <c r="AO358" i="22"/>
  <c r="AN358" i="22"/>
  <c r="AM358" i="22"/>
  <c r="AL358" i="22"/>
  <c r="AK358" i="22"/>
  <c r="AJ358" i="22"/>
  <c r="AI358" i="22"/>
  <c r="AH358" i="22"/>
  <c r="AB358" i="22"/>
  <c r="AA358" i="22"/>
  <c r="Z358" i="22"/>
  <c r="Y358" i="22"/>
  <c r="X358" i="22"/>
  <c r="W358" i="22"/>
  <c r="L358" i="22"/>
  <c r="AF358" i="22" s="1"/>
  <c r="K358" i="22"/>
  <c r="J358" i="22"/>
  <c r="I358" i="22"/>
  <c r="B358" i="22"/>
  <c r="A358" i="22"/>
  <c r="AO381" i="22"/>
  <c r="AN381" i="22"/>
  <c r="AM381" i="22"/>
  <c r="AL381" i="22"/>
  <c r="AK381" i="22"/>
  <c r="AJ381" i="22"/>
  <c r="AI381" i="22"/>
  <c r="AH381" i="22"/>
  <c r="AB381" i="22"/>
  <c r="AA381" i="22"/>
  <c r="Z381" i="22"/>
  <c r="Y381" i="22"/>
  <c r="X381" i="22"/>
  <c r="W381" i="22"/>
  <c r="AO380" i="22"/>
  <c r="AN380" i="22"/>
  <c r="AM380" i="22"/>
  <c r="AL380" i="22"/>
  <c r="AK380" i="22"/>
  <c r="AJ380" i="22"/>
  <c r="AI380" i="22"/>
  <c r="AH380" i="22"/>
  <c r="AB380" i="22"/>
  <c r="AA380" i="22"/>
  <c r="Z380" i="22"/>
  <c r="Y380" i="22"/>
  <c r="X380" i="22"/>
  <c r="W380" i="22"/>
  <c r="AO379" i="22"/>
  <c r="AN379" i="22"/>
  <c r="AM379" i="22"/>
  <c r="AL379" i="22"/>
  <c r="AK379" i="22"/>
  <c r="AJ379" i="22"/>
  <c r="AI379" i="22"/>
  <c r="AH379" i="22"/>
  <c r="AB379" i="22"/>
  <c r="AA379" i="22"/>
  <c r="Z379" i="22"/>
  <c r="Y379" i="22"/>
  <c r="X379" i="22"/>
  <c r="W379" i="22"/>
  <c r="AO378" i="22"/>
  <c r="AN378" i="22"/>
  <c r="AM378" i="22"/>
  <c r="AL378" i="22"/>
  <c r="AK378" i="22"/>
  <c r="AJ378" i="22"/>
  <c r="AI378" i="22"/>
  <c r="AH378" i="22"/>
  <c r="AB378" i="22"/>
  <c r="AA378" i="22"/>
  <c r="Z378" i="22"/>
  <c r="Y378" i="22"/>
  <c r="X378" i="22"/>
  <c r="W378" i="22"/>
  <c r="AO377" i="22"/>
  <c r="AN377" i="22"/>
  <c r="AM377" i="22"/>
  <c r="AL377" i="22"/>
  <c r="AK377" i="22"/>
  <c r="AJ377" i="22"/>
  <c r="AI377" i="22"/>
  <c r="AH377" i="22"/>
  <c r="AB377" i="22"/>
  <c r="AA377" i="22"/>
  <c r="Z377" i="22"/>
  <c r="Y377" i="22"/>
  <c r="X377" i="22"/>
  <c r="W377" i="22"/>
  <c r="AO376" i="22"/>
  <c r="AN376" i="22"/>
  <c r="AM376" i="22"/>
  <c r="AL376" i="22"/>
  <c r="AK376" i="22"/>
  <c r="AJ376" i="22"/>
  <c r="AI376" i="22"/>
  <c r="AH376" i="22"/>
  <c r="AB376" i="22"/>
  <c r="AA376" i="22"/>
  <c r="Z376" i="22"/>
  <c r="Y376" i="22"/>
  <c r="X376" i="22"/>
  <c r="W376" i="22"/>
  <c r="AO375" i="22"/>
  <c r="AN375" i="22"/>
  <c r="AM375" i="22"/>
  <c r="AL375" i="22"/>
  <c r="AK375" i="22"/>
  <c r="AJ375" i="22"/>
  <c r="AI375" i="22"/>
  <c r="AH375" i="22"/>
  <c r="AB375" i="22"/>
  <c r="AA375" i="22"/>
  <c r="Z375" i="22"/>
  <c r="Y375" i="22"/>
  <c r="X375" i="22"/>
  <c r="W375" i="22"/>
  <c r="AO374" i="22"/>
  <c r="AN374" i="22"/>
  <c r="AM374" i="22"/>
  <c r="AL374" i="22"/>
  <c r="AK374" i="22"/>
  <c r="AJ374" i="22"/>
  <c r="AI374" i="22"/>
  <c r="AH374" i="22"/>
  <c r="AB374" i="22"/>
  <c r="AA374" i="22"/>
  <c r="Z374" i="22"/>
  <c r="Y374" i="22"/>
  <c r="X374" i="22"/>
  <c r="W374" i="22"/>
  <c r="AO373" i="22"/>
  <c r="AN373" i="22"/>
  <c r="AM373" i="22"/>
  <c r="AL373" i="22"/>
  <c r="AK373" i="22"/>
  <c r="AJ373" i="22"/>
  <c r="AI373" i="22"/>
  <c r="AH373" i="22"/>
  <c r="AB373" i="22"/>
  <c r="AA373" i="22"/>
  <c r="Z373" i="22"/>
  <c r="Y373" i="22"/>
  <c r="X373" i="22"/>
  <c r="W373" i="22"/>
  <c r="AO372" i="22"/>
  <c r="AN372" i="22"/>
  <c r="AM372" i="22"/>
  <c r="AL372" i="22"/>
  <c r="AK372" i="22"/>
  <c r="AJ372" i="22"/>
  <c r="AI372" i="22"/>
  <c r="AH372" i="22"/>
  <c r="AB372" i="22"/>
  <c r="AA372" i="22"/>
  <c r="Z372" i="22"/>
  <c r="Y372" i="22"/>
  <c r="X372" i="22"/>
  <c r="W372" i="22"/>
  <c r="AO371" i="22"/>
  <c r="AN371" i="22"/>
  <c r="AM371" i="22"/>
  <c r="AL371" i="22"/>
  <c r="AK371" i="22"/>
  <c r="AJ371" i="22"/>
  <c r="AI371" i="22"/>
  <c r="AH371" i="22"/>
  <c r="AB371" i="22"/>
  <c r="AA371" i="22"/>
  <c r="Z371" i="22"/>
  <c r="Y371" i="22"/>
  <c r="X371" i="22"/>
  <c r="W371" i="22"/>
  <c r="AO370" i="22"/>
  <c r="AN370" i="22"/>
  <c r="AM370" i="22"/>
  <c r="AL370" i="22"/>
  <c r="AK370" i="22"/>
  <c r="AJ370" i="22"/>
  <c r="AI370" i="22"/>
  <c r="AH370" i="22"/>
  <c r="AB370" i="22"/>
  <c r="AA370" i="22"/>
  <c r="Z370" i="22"/>
  <c r="Y370" i="22"/>
  <c r="X370" i="22"/>
  <c r="W370" i="22"/>
  <c r="B370" i="22"/>
  <c r="A370" i="22"/>
  <c r="AO357" i="22"/>
  <c r="AN357" i="22"/>
  <c r="AM357" i="22"/>
  <c r="AL357" i="22"/>
  <c r="AK357" i="22"/>
  <c r="AJ357" i="22"/>
  <c r="AI357" i="22"/>
  <c r="AH357" i="22"/>
  <c r="AB357" i="22"/>
  <c r="AA357" i="22"/>
  <c r="Z357" i="22"/>
  <c r="Y357" i="22"/>
  <c r="X357" i="22"/>
  <c r="W357" i="22"/>
  <c r="AO356" i="22"/>
  <c r="AN356" i="22"/>
  <c r="AM356" i="22"/>
  <c r="AL356" i="22"/>
  <c r="AK356" i="22"/>
  <c r="AJ356" i="22"/>
  <c r="AI356" i="22"/>
  <c r="AH356" i="22"/>
  <c r="AB356" i="22"/>
  <c r="AA356" i="22"/>
  <c r="Z356" i="22"/>
  <c r="Y356" i="22"/>
  <c r="X356" i="22"/>
  <c r="W356" i="22"/>
  <c r="AO355" i="22"/>
  <c r="AN355" i="22"/>
  <c r="AM355" i="22"/>
  <c r="AL355" i="22"/>
  <c r="AK355" i="22"/>
  <c r="AJ355" i="22"/>
  <c r="AI355" i="22"/>
  <c r="AH355" i="22"/>
  <c r="AB355" i="22"/>
  <c r="AA355" i="22"/>
  <c r="Z355" i="22"/>
  <c r="Y355" i="22"/>
  <c r="X355" i="22"/>
  <c r="W355" i="22"/>
  <c r="AO354" i="22"/>
  <c r="AN354" i="22"/>
  <c r="AM354" i="22"/>
  <c r="AL354" i="22"/>
  <c r="AK354" i="22"/>
  <c r="AJ354" i="22"/>
  <c r="AI354" i="22"/>
  <c r="AH354" i="22"/>
  <c r="AB354" i="22"/>
  <c r="AA354" i="22"/>
  <c r="Z354" i="22"/>
  <c r="Y354" i="22"/>
  <c r="X354" i="22"/>
  <c r="W354" i="22"/>
  <c r="AO353" i="22"/>
  <c r="AN353" i="22"/>
  <c r="AM353" i="22"/>
  <c r="AL353" i="22"/>
  <c r="AK353" i="22"/>
  <c r="AJ353" i="22"/>
  <c r="AI353" i="22"/>
  <c r="AH353" i="22"/>
  <c r="AB353" i="22"/>
  <c r="AA353" i="22"/>
  <c r="Z353" i="22"/>
  <c r="Y353" i="22"/>
  <c r="X353" i="22"/>
  <c r="W353" i="22"/>
  <c r="AO352" i="22"/>
  <c r="AN352" i="22"/>
  <c r="AM352" i="22"/>
  <c r="AL352" i="22"/>
  <c r="AK352" i="22"/>
  <c r="AJ352" i="22"/>
  <c r="AI352" i="22"/>
  <c r="AH352" i="22"/>
  <c r="AB352" i="22"/>
  <c r="AA352" i="22"/>
  <c r="Z352" i="22"/>
  <c r="Y352" i="22"/>
  <c r="X352" i="22"/>
  <c r="W352" i="22"/>
  <c r="AO351" i="22"/>
  <c r="AN351" i="22"/>
  <c r="AM351" i="22"/>
  <c r="AL351" i="22"/>
  <c r="AK351" i="22"/>
  <c r="AJ351" i="22"/>
  <c r="AI351" i="22"/>
  <c r="AH351" i="22"/>
  <c r="AB351" i="22"/>
  <c r="AA351" i="22"/>
  <c r="Z351" i="22"/>
  <c r="Y351" i="22"/>
  <c r="X351" i="22"/>
  <c r="W351" i="22"/>
  <c r="AO350" i="22"/>
  <c r="AN350" i="22"/>
  <c r="AM350" i="22"/>
  <c r="AL350" i="22"/>
  <c r="AK350" i="22"/>
  <c r="AJ350" i="22"/>
  <c r="AI350" i="22"/>
  <c r="AH350" i="22"/>
  <c r="AB350" i="22"/>
  <c r="AA350" i="22"/>
  <c r="Z350" i="22"/>
  <c r="Y350" i="22"/>
  <c r="X350" i="22"/>
  <c r="W350" i="22"/>
  <c r="AO349" i="22"/>
  <c r="AN349" i="22"/>
  <c r="AM349" i="22"/>
  <c r="AL349" i="22"/>
  <c r="AK349" i="22"/>
  <c r="AJ349" i="22"/>
  <c r="AI349" i="22"/>
  <c r="AH349" i="22"/>
  <c r="AB349" i="22"/>
  <c r="AA349" i="22"/>
  <c r="Z349" i="22"/>
  <c r="Y349" i="22"/>
  <c r="X349" i="22"/>
  <c r="W349" i="22"/>
  <c r="AO348" i="22"/>
  <c r="AN348" i="22"/>
  <c r="AM348" i="22"/>
  <c r="AL348" i="22"/>
  <c r="AK348" i="22"/>
  <c r="AJ348" i="22"/>
  <c r="AI348" i="22"/>
  <c r="AH348" i="22"/>
  <c r="AB348" i="22"/>
  <c r="AA348" i="22"/>
  <c r="Z348" i="22"/>
  <c r="Y348" i="22"/>
  <c r="X348" i="22"/>
  <c r="W348" i="22"/>
  <c r="AO347" i="22"/>
  <c r="AN347" i="22"/>
  <c r="AM347" i="22"/>
  <c r="AL347" i="22"/>
  <c r="AK347" i="22"/>
  <c r="AJ347" i="22"/>
  <c r="AI347" i="22"/>
  <c r="AH347" i="22"/>
  <c r="AB347" i="22"/>
  <c r="AA347" i="22"/>
  <c r="Z347" i="22"/>
  <c r="Y347" i="22"/>
  <c r="X347" i="22"/>
  <c r="W347" i="22"/>
  <c r="AO346" i="22"/>
  <c r="AN346" i="22"/>
  <c r="AM346" i="22"/>
  <c r="AL346" i="22"/>
  <c r="AK346" i="22"/>
  <c r="AJ346" i="22"/>
  <c r="AI346" i="22"/>
  <c r="AH346" i="22"/>
  <c r="AB346" i="22"/>
  <c r="AA346" i="22"/>
  <c r="Z346" i="22"/>
  <c r="Y346" i="22"/>
  <c r="X346" i="22"/>
  <c r="W346" i="22"/>
  <c r="B346" i="22"/>
  <c r="A346" i="22"/>
  <c r="AO345" i="22"/>
  <c r="AB345" i="22"/>
  <c r="AA345" i="22"/>
  <c r="Z345" i="22"/>
  <c r="Y345" i="22"/>
  <c r="X345" i="22"/>
  <c r="W345" i="22"/>
  <c r="AN345" i="22"/>
  <c r="AM345" i="22"/>
  <c r="AL345" i="22"/>
  <c r="AK345" i="22"/>
  <c r="AJ345" i="22"/>
  <c r="AI345" i="22"/>
  <c r="AH345" i="22"/>
  <c r="AO344" i="22"/>
  <c r="AB344" i="22"/>
  <c r="AA344" i="22"/>
  <c r="Z344" i="22"/>
  <c r="Y344" i="22"/>
  <c r="X344" i="22"/>
  <c r="W344" i="22"/>
  <c r="AN344" i="22"/>
  <c r="AM344" i="22"/>
  <c r="AL344" i="22"/>
  <c r="AK344" i="22"/>
  <c r="AJ344" i="22"/>
  <c r="AI344" i="22"/>
  <c r="AH344" i="22"/>
  <c r="AO343" i="22"/>
  <c r="AB343" i="22"/>
  <c r="AA343" i="22"/>
  <c r="Z343" i="22"/>
  <c r="Y343" i="22"/>
  <c r="X343" i="22"/>
  <c r="W343" i="22"/>
  <c r="AN343" i="22"/>
  <c r="AM343" i="22"/>
  <c r="AL343" i="22"/>
  <c r="AK343" i="22"/>
  <c r="AJ343" i="22"/>
  <c r="AI343" i="22"/>
  <c r="AH343" i="22"/>
  <c r="AO342" i="22"/>
  <c r="AB342" i="22"/>
  <c r="AA342" i="22"/>
  <c r="Z342" i="22"/>
  <c r="Y342" i="22"/>
  <c r="X342" i="22"/>
  <c r="W342" i="22"/>
  <c r="AN342" i="22"/>
  <c r="AM342" i="22"/>
  <c r="AL342" i="22"/>
  <c r="AK342" i="22"/>
  <c r="AJ342" i="22"/>
  <c r="AI342" i="22"/>
  <c r="AH342" i="22"/>
  <c r="AO341" i="22"/>
  <c r="AB341" i="22"/>
  <c r="AA341" i="22"/>
  <c r="Z341" i="22"/>
  <c r="Y341" i="22"/>
  <c r="X341" i="22"/>
  <c r="W341" i="22"/>
  <c r="AN341" i="22"/>
  <c r="AM341" i="22"/>
  <c r="AL341" i="22"/>
  <c r="AK341" i="22"/>
  <c r="AJ341" i="22"/>
  <c r="AI341" i="22"/>
  <c r="AH341" i="22"/>
  <c r="AO340" i="22"/>
  <c r="AB340" i="22"/>
  <c r="AA340" i="22"/>
  <c r="Z340" i="22"/>
  <c r="Y340" i="22"/>
  <c r="X340" i="22"/>
  <c r="W340" i="22"/>
  <c r="AN340" i="22"/>
  <c r="AM340" i="22"/>
  <c r="AL340" i="22"/>
  <c r="AK340" i="22"/>
  <c r="AJ340" i="22"/>
  <c r="AI340" i="22"/>
  <c r="AH340" i="22"/>
  <c r="AO339" i="22"/>
  <c r="AB339" i="22"/>
  <c r="AA339" i="22"/>
  <c r="Z339" i="22"/>
  <c r="Y339" i="22"/>
  <c r="X339" i="22"/>
  <c r="W339" i="22"/>
  <c r="AN339" i="22"/>
  <c r="AM339" i="22"/>
  <c r="AL339" i="22"/>
  <c r="AK339" i="22"/>
  <c r="AJ339" i="22"/>
  <c r="AI339" i="22"/>
  <c r="AH339" i="22"/>
  <c r="AO338" i="22"/>
  <c r="AB338" i="22"/>
  <c r="AA338" i="22"/>
  <c r="Z338" i="22"/>
  <c r="Y338" i="22"/>
  <c r="X338" i="22"/>
  <c r="W338" i="22"/>
  <c r="AN338" i="22"/>
  <c r="AM338" i="22"/>
  <c r="AL338" i="22"/>
  <c r="AK338" i="22"/>
  <c r="AJ338" i="22"/>
  <c r="AI338" i="22"/>
  <c r="AH338" i="22"/>
  <c r="AO337" i="22"/>
  <c r="AB337" i="22"/>
  <c r="AA337" i="22"/>
  <c r="Z337" i="22"/>
  <c r="Y337" i="22"/>
  <c r="X337" i="22"/>
  <c r="W337" i="22"/>
  <c r="AN337" i="22"/>
  <c r="AM337" i="22"/>
  <c r="AL337" i="22"/>
  <c r="AK337" i="22"/>
  <c r="AJ337" i="22"/>
  <c r="AI337" i="22"/>
  <c r="AH337" i="22"/>
  <c r="AO336" i="22"/>
  <c r="AB336" i="22"/>
  <c r="AA336" i="22"/>
  <c r="Z336" i="22"/>
  <c r="Y336" i="22"/>
  <c r="X336" i="22"/>
  <c r="W336" i="22"/>
  <c r="AN336" i="22"/>
  <c r="AM336" i="22"/>
  <c r="AL336" i="22"/>
  <c r="AK336" i="22"/>
  <c r="AJ336" i="22"/>
  <c r="AI336" i="22"/>
  <c r="AH336" i="22"/>
  <c r="AO335" i="22"/>
  <c r="AB335" i="22"/>
  <c r="AA335" i="22"/>
  <c r="Z335" i="22"/>
  <c r="Y335" i="22"/>
  <c r="X335" i="22"/>
  <c r="W335" i="22"/>
  <c r="AN335" i="22"/>
  <c r="AM335" i="22"/>
  <c r="AL335" i="22"/>
  <c r="AK335" i="22"/>
  <c r="AJ335" i="22"/>
  <c r="AI335" i="22"/>
  <c r="AH335" i="22"/>
  <c r="AO334" i="22"/>
  <c r="AB334" i="22"/>
  <c r="AA334" i="22"/>
  <c r="Z334" i="22"/>
  <c r="Y334" i="22"/>
  <c r="X334" i="22"/>
  <c r="W334" i="22"/>
  <c r="AN334" i="22"/>
  <c r="AM334" i="22"/>
  <c r="AL334" i="22"/>
  <c r="AK334" i="22"/>
  <c r="AJ334" i="22"/>
  <c r="AI334" i="22"/>
  <c r="AH334" i="22"/>
  <c r="B334" i="22"/>
  <c r="A334" i="22"/>
  <c r="AO333" i="22"/>
  <c r="AN333" i="22"/>
  <c r="AM333" i="22"/>
  <c r="AL333" i="22"/>
  <c r="AK333" i="22"/>
  <c r="AJ333" i="22"/>
  <c r="AI333" i="22"/>
  <c r="AH333" i="22"/>
  <c r="AB333" i="22"/>
  <c r="AO332" i="22"/>
  <c r="AN332" i="22"/>
  <c r="AM332" i="22"/>
  <c r="AL332" i="22"/>
  <c r="AK332" i="22"/>
  <c r="AJ332" i="22"/>
  <c r="AI332" i="22"/>
  <c r="AH332" i="22"/>
  <c r="AB332" i="22"/>
  <c r="AO331" i="22"/>
  <c r="AN331" i="22"/>
  <c r="AM331" i="22"/>
  <c r="AL331" i="22"/>
  <c r="AK331" i="22"/>
  <c r="AJ331" i="22"/>
  <c r="AI331" i="22"/>
  <c r="AH331" i="22"/>
  <c r="AB331" i="22"/>
  <c r="AO330" i="22"/>
  <c r="AN330" i="22"/>
  <c r="AM330" i="22"/>
  <c r="AL330" i="22"/>
  <c r="AK330" i="22"/>
  <c r="AJ330" i="22"/>
  <c r="AI330" i="22"/>
  <c r="AH330" i="22"/>
  <c r="AB330" i="22"/>
  <c r="AO329" i="22"/>
  <c r="AN329" i="22"/>
  <c r="AM329" i="22"/>
  <c r="AL329" i="22"/>
  <c r="AK329" i="22"/>
  <c r="AJ329" i="22"/>
  <c r="AI329" i="22"/>
  <c r="AH329" i="22"/>
  <c r="AB329" i="22"/>
  <c r="AO328" i="22"/>
  <c r="AN328" i="22"/>
  <c r="AM328" i="22"/>
  <c r="AL328" i="22"/>
  <c r="AK328" i="22"/>
  <c r="AJ328" i="22"/>
  <c r="AI328" i="22"/>
  <c r="AH328" i="22"/>
  <c r="AB328" i="22"/>
  <c r="AO327" i="22"/>
  <c r="AN327" i="22"/>
  <c r="AM327" i="22"/>
  <c r="AL327" i="22"/>
  <c r="AK327" i="22"/>
  <c r="AJ327" i="22"/>
  <c r="AI327" i="22"/>
  <c r="AH327" i="22"/>
  <c r="AB327" i="22"/>
  <c r="AO326" i="22"/>
  <c r="AN326" i="22"/>
  <c r="AM326" i="22"/>
  <c r="AL326" i="22"/>
  <c r="AK326" i="22"/>
  <c r="AJ326" i="22"/>
  <c r="AI326" i="22"/>
  <c r="AH326" i="22"/>
  <c r="AB326" i="22"/>
  <c r="AO325" i="22"/>
  <c r="AN325" i="22"/>
  <c r="AM325" i="22"/>
  <c r="AL325" i="22"/>
  <c r="AK325" i="22"/>
  <c r="AJ325" i="22"/>
  <c r="AI325" i="22"/>
  <c r="AH325" i="22"/>
  <c r="AB325" i="22"/>
  <c r="AO324" i="22"/>
  <c r="AN324" i="22"/>
  <c r="AM324" i="22"/>
  <c r="AL324" i="22"/>
  <c r="AK324" i="22"/>
  <c r="AJ324" i="22"/>
  <c r="AI324" i="22"/>
  <c r="AH324" i="22"/>
  <c r="AB324" i="22"/>
  <c r="AO323" i="22"/>
  <c r="AN323" i="22"/>
  <c r="AM323" i="22"/>
  <c r="AL323" i="22"/>
  <c r="AK323" i="22"/>
  <c r="AJ323" i="22"/>
  <c r="AI323" i="22"/>
  <c r="AH323" i="22"/>
  <c r="AB323" i="22"/>
  <c r="AO322" i="22"/>
  <c r="AN322" i="22"/>
  <c r="AM322" i="22"/>
  <c r="AL322" i="22"/>
  <c r="AK322" i="22"/>
  <c r="AJ322" i="22"/>
  <c r="AI322" i="22"/>
  <c r="AH322" i="22"/>
  <c r="AB322" i="22"/>
  <c r="B322" i="22"/>
  <c r="A322" i="22"/>
  <c r="AO321" i="22"/>
  <c r="AB321" i="22"/>
  <c r="AA321" i="22"/>
  <c r="Z321" i="22"/>
  <c r="Y321" i="22"/>
  <c r="X321" i="22"/>
  <c r="W321" i="22"/>
  <c r="AN321" i="22"/>
  <c r="AM321" i="22"/>
  <c r="AL321" i="22"/>
  <c r="AK321" i="22"/>
  <c r="AJ321" i="22"/>
  <c r="AI321" i="22"/>
  <c r="AH321" i="22"/>
  <c r="AO320" i="22"/>
  <c r="AB320" i="22"/>
  <c r="AA320" i="22"/>
  <c r="Z320" i="22"/>
  <c r="Y320" i="22"/>
  <c r="X320" i="22"/>
  <c r="W320" i="22"/>
  <c r="AN320" i="22"/>
  <c r="AM320" i="22"/>
  <c r="AL320" i="22"/>
  <c r="AK320" i="22"/>
  <c r="AJ320" i="22"/>
  <c r="AI320" i="22"/>
  <c r="AH320" i="22"/>
  <c r="AO319" i="22"/>
  <c r="AB319" i="22"/>
  <c r="AA319" i="22"/>
  <c r="Z319" i="22"/>
  <c r="Y319" i="22"/>
  <c r="X319" i="22"/>
  <c r="W319" i="22"/>
  <c r="AN319" i="22"/>
  <c r="AM319" i="22"/>
  <c r="AL319" i="22"/>
  <c r="AK319" i="22"/>
  <c r="AJ319" i="22"/>
  <c r="AI319" i="22"/>
  <c r="AH319" i="22"/>
  <c r="AO318" i="22"/>
  <c r="AB318" i="22"/>
  <c r="AA318" i="22"/>
  <c r="Z318" i="22"/>
  <c r="Y318" i="22"/>
  <c r="X318" i="22"/>
  <c r="W318" i="22"/>
  <c r="AN318" i="22"/>
  <c r="AM318" i="22"/>
  <c r="AL318" i="22"/>
  <c r="AK318" i="22"/>
  <c r="AJ318" i="22"/>
  <c r="AI318" i="22"/>
  <c r="AH318" i="22"/>
  <c r="AO317" i="22"/>
  <c r="AB317" i="22"/>
  <c r="AA317" i="22"/>
  <c r="Z317" i="22"/>
  <c r="Y317" i="22"/>
  <c r="X317" i="22"/>
  <c r="W317" i="22"/>
  <c r="AN317" i="22"/>
  <c r="AM317" i="22"/>
  <c r="AL317" i="22"/>
  <c r="AK317" i="22"/>
  <c r="AJ317" i="22"/>
  <c r="AI317" i="22"/>
  <c r="AH317" i="22"/>
  <c r="AO316" i="22"/>
  <c r="AB316" i="22"/>
  <c r="AA316" i="22"/>
  <c r="Z316" i="22"/>
  <c r="Y316" i="22"/>
  <c r="X316" i="22"/>
  <c r="W316" i="22"/>
  <c r="AN316" i="22"/>
  <c r="AM316" i="22"/>
  <c r="AL316" i="22"/>
  <c r="AK316" i="22"/>
  <c r="AJ316" i="22"/>
  <c r="AI316" i="22"/>
  <c r="AH316" i="22"/>
  <c r="AO315" i="22"/>
  <c r="AB315" i="22"/>
  <c r="AA315" i="22"/>
  <c r="Z315" i="22"/>
  <c r="Y315" i="22"/>
  <c r="X315" i="22"/>
  <c r="W315" i="22"/>
  <c r="AN315" i="22"/>
  <c r="AM315" i="22"/>
  <c r="AL315" i="22"/>
  <c r="AK315" i="22"/>
  <c r="AJ315" i="22"/>
  <c r="AI315" i="22"/>
  <c r="AH315" i="22"/>
  <c r="AO314" i="22"/>
  <c r="AB314" i="22"/>
  <c r="AA314" i="22"/>
  <c r="Z314" i="22"/>
  <c r="Y314" i="22"/>
  <c r="X314" i="22"/>
  <c r="W314" i="22"/>
  <c r="AN314" i="22"/>
  <c r="AM314" i="22"/>
  <c r="AL314" i="22"/>
  <c r="AK314" i="22"/>
  <c r="AJ314" i="22"/>
  <c r="AI314" i="22"/>
  <c r="AH314" i="22"/>
  <c r="AO313" i="22"/>
  <c r="AB313" i="22"/>
  <c r="AA313" i="22"/>
  <c r="Z313" i="22"/>
  <c r="Y313" i="22"/>
  <c r="X313" i="22"/>
  <c r="W313" i="22"/>
  <c r="AN313" i="22"/>
  <c r="AM313" i="22"/>
  <c r="AL313" i="22"/>
  <c r="AK313" i="22"/>
  <c r="AJ313" i="22"/>
  <c r="AI313" i="22"/>
  <c r="AH313" i="22"/>
  <c r="AO312" i="22"/>
  <c r="AB312" i="22"/>
  <c r="AA312" i="22"/>
  <c r="Z312" i="22"/>
  <c r="Y312" i="22"/>
  <c r="X312" i="22"/>
  <c r="W312" i="22"/>
  <c r="AN312" i="22"/>
  <c r="AM312" i="22"/>
  <c r="AL312" i="22"/>
  <c r="AK312" i="22"/>
  <c r="AJ312" i="22"/>
  <c r="AI312" i="22"/>
  <c r="AH312" i="22"/>
  <c r="AO311" i="22"/>
  <c r="AB311" i="22"/>
  <c r="AA311" i="22"/>
  <c r="Z311" i="22"/>
  <c r="Y311" i="22"/>
  <c r="X311" i="22"/>
  <c r="W311" i="22"/>
  <c r="AN311" i="22"/>
  <c r="AM311" i="22"/>
  <c r="AL311" i="22"/>
  <c r="AK311" i="22"/>
  <c r="AJ311" i="22"/>
  <c r="AI311" i="22"/>
  <c r="AH311" i="22"/>
  <c r="AO310" i="22"/>
  <c r="AB310" i="22"/>
  <c r="AA310" i="22"/>
  <c r="Z310" i="22"/>
  <c r="Y310" i="22"/>
  <c r="X310" i="22"/>
  <c r="W310" i="22"/>
  <c r="AN310" i="22"/>
  <c r="AM310" i="22"/>
  <c r="AL310" i="22"/>
  <c r="AK310" i="22"/>
  <c r="AJ310" i="22"/>
  <c r="AI310" i="22"/>
  <c r="AH310" i="22"/>
  <c r="B310" i="22"/>
  <c r="A310" i="22"/>
  <c r="AO309" i="22"/>
  <c r="AN309" i="22"/>
  <c r="AM309" i="22"/>
  <c r="AL309" i="22"/>
  <c r="AK309" i="22"/>
  <c r="AJ309" i="22"/>
  <c r="AI309" i="22"/>
  <c r="AH309" i="22"/>
  <c r="AB309" i="22"/>
  <c r="AA309" i="22"/>
  <c r="Z309" i="22"/>
  <c r="Y309" i="22"/>
  <c r="X309" i="22"/>
  <c r="W309" i="22"/>
  <c r="AO308" i="22"/>
  <c r="AN308" i="22"/>
  <c r="AM308" i="22"/>
  <c r="AL308" i="22"/>
  <c r="AK308" i="22"/>
  <c r="AJ308" i="22"/>
  <c r="AI308" i="22"/>
  <c r="AH308" i="22"/>
  <c r="AB308" i="22"/>
  <c r="AA308" i="22"/>
  <c r="Z308" i="22"/>
  <c r="Y308" i="22"/>
  <c r="X308" i="22"/>
  <c r="W308" i="22"/>
  <c r="AO307" i="22"/>
  <c r="AN307" i="22"/>
  <c r="AM307" i="22"/>
  <c r="AL307" i="22"/>
  <c r="AK307" i="22"/>
  <c r="AJ307" i="22"/>
  <c r="AI307" i="22"/>
  <c r="AH307" i="22"/>
  <c r="AB307" i="22"/>
  <c r="AA307" i="22"/>
  <c r="Z307" i="22"/>
  <c r="Y307" i="22"/>
  <c r="X307" i="22"/>
  <c r="W307" i="22"/>
  <c r="AO306" i="22"/>
  <c r="AN306" i="22"/>
  <c r="AM306" i="22"/>
  <c r="AL306" i="22"/>
  <c r="AK306" i="22"/>
  <c r="AJ306" i="22"/>
  <c r="AI306" i="22"/>
  <c r="AH306" i="22"/>
  <c r="AB306" i="22"/>
  <c r="AA306" i="22"/>
  <c r="Z306" i="22"/>
  <c r="Y306" i="22"/>
  <c r="X306" i="22"/>
  <c r="W306" i="22"/>
  <c r="AO305" i="22"/>
  <c r="AN305" i="22"/>
  <c r="AM305" i="22"/>
  <c r="AL305" i="22"/>
  <c r="AK305" i="22"/>
  <c r="AJ305" i="22"/>
  <c r="AI305" i="22"/>
  <c r="AH305" i="22"/>
  <c r="AB305" i="22"/>
  <c r="AA305" i="22"/>
  <c r="Z305" i="22"/>
  <c r="Y305" i="22"/>
  <c r="X305" i="22"/>
  <c r="W305" i="22"/>
  <c r="AO304" i="22"/>
  <c r="AN304" i="22"/>
  <c r="AM304" i="22"/>
  <c r="AL304" i="22"/>
  <c r="AK304" i="22"/>
  <c r="AJ304" i="22"/>
  <c r="AI304" i="22"/>
  <c r="AH304" i="22"/>
  <c r="AB304" i="22"/>
  <c r="AA304" i="22"/>
  <c r="Z304" i="22"/>
  <c r="Y304" i="22"/>
  <c r="X304" i="22"/>
  <c r="W304" i="22"/>
  <c r="AO303" i="22"/>
  <c r="AN303" i="22"/>
  <c r="AM303" i="22"/>
  <c r="AL303" i="22"/>
  <c r="AK303" i="22"/>
  <c r="AJ303" i="22"/>
  <c r="AI303" i="22"/>
  <c r="AH303" i="22"/>
  <c r="AB303" i="22"/>
  <c r="AA303" i="22"/>
  <c r="Z303" i="22"/>
  <c r="Y303" i="22"/>
  <c r="X303" i="22"/>
  <c r="W303" i="22"/>
  <c r="AO302" i="22"/>
  <c r="AN302" i="22"/>
  <c r="AM302" i="22"/>
  <c r="AL302" i="22"/>
  <c r="AK302" i="22"/>
  <c r="AJ302" i="22"/>
  <c r="AI302" i="22"/>
  <c r="AH302" i="22"/>
  <c r="AB302" i="22"/>
  <c r="AA302" i="22"/>
  <c r="Z302" i="22"/>
  <c r="Y302" i="22"/>
  <c r="X302" i="22"/>
  <c r="W302" i="22"/>
  <c r="AO301" i="22"/>
  <c r="AN301" i="22"/>
  <c r="AM301" i="22"/>
  <c r="AL301" i="22"/>
  <c r="AK301" i="22"/>
  <c r="AJ301" i="22"/>
  <c r="AI301" i="22"/>
  <c r="AH301" i="22"/>
  <c r="AB301" i="22"/>
  <c r="AA301" i="22"/>
  <c r="Z301" i="22"/>
  <c r="Y301" i="22"/>
  <c r="X301" i="22"/>
  <c r="W301" i="22"/>
  <c r="AO300" i="22"/>
  <c r="AN300" i="22"/>
  <c r="AM300" i="22"/>
  <c r="AL300" i="22"/>
  <c r="AK300" i="22"/>
  <c r="AJ300" i="22"/>
  <c r="AI300" i="22"/>
  <c r="AH300" i="22"/>
  <c r="AB300" i="22"/>
  <c r="AA300" i="22"/>
  <c r="Z300" i="22"/>
  <c r="Y300" i="22"/>
  <c r="X300" i="22"/>
  <c r="W300" i="22"/>
  <c r="AO299" i="22"/>
  <c r="AN299" i="22"/>
  <c r="AM299" i="22"/>
  <c r="AL299" i="22"/>
  <c r="AK299" i="22"/>
  <c r="AJ299" i="22"/>
  <c r="AI299" i="22"/>
  <c r="AH299" i="22"/>
  <c r="AB299" i="22"/>
  <c r="AA299" i="22"/>
  <c r="Z299" i="22"/>
  <c r="Y299" i="22"/>
  <c r="X299" i="22"/>
  <c r="W299" i="22"/>
  <c r="AO298" i="22"/>
  <c r="AN298" i="22"/>
  <c r="AM298" i="22"/>
  <c r="AL298" i="22"/>
  <c r="AK298" i="22"/>
  <c r="AJ298" i="22"/>
  <c r="AI298" i="22"/>
  <c r="AH298" i="22"/>
  <c r="AB298" i="22"/>
  <c r="AA298" i="22"/>
  <c r="Z298" i="22"/>
  <c r="Y298" i="22"/>
  <c r="X298" i="22"/>
  <c r="W298" i="22"/>
  <c r="B298" i="22"/>
  <c r="A298" i="22"/>
  <c r="AO297" i="22"/>
  <c r="AB297" i="22"/>
  <c r="AA297" i="22"/>
  <c r="Z297" i="22"/>
  <c r="Y297" i="22"/>
  <c r="X297" i="22"/>
  <c r="W297" i="22"/>
  <c r="AN297" i="22"/>
  <c r="AM297" i="22"/>
  <c r="AL297" i="22"/>
  <c r="AK297" i="22"/>
  <c r="AJ297" i="22"/>
  <c r="AI297" i="22"/>
  <c r="AH297" i="22"/>
  <c r="AG297" i="22"/>
  <c r="L297" i="22"/>
  <c r="AF297" i="22" s="1"/>
  <c r="K297" i="22"/>
  <c r="J297" i="22"/>
  <c r="I297" i="22"/>
  <c r="AO296" i="22"/>
  <c r="AB296" i="22"/>
  <c r="AA296" i="22"/>
  <c r="Z296" i="22"/>
  <c r="Y296" i="22"/>
  <c r="X296" i="22"/>
  <c r="W296" i="22"/>
  <c r="AN296" i="22"/>
  <c r="AM296" i="22"/>
  <c r="AL296" i="22"/>
  <c r="AK296" i="22"/>
  <c r="AJ296" i="22"/>
  <c r="AI296" i="22"/>
  <c r="AH296" i="22"/>
  <c r="AG296" i="22"/>
  <c r="L296" i="22"/>
  <c r="AF296" i="22" s="1"/>
  <c r="K296" i="22"/>
  <c r="J296" i="22"/>
  <c r="I296" i="22"/>
  <c r="AO295" i="22"/>
  <c r="AB295" i="22"/>
  <c r="AA295" i="22"/>
  <c r="Z295" i="22"/>
  <c r="Y295" i="22"/>
  <c r="X295" i="22"/>
  <c r="W295" i="22"/>
  <c r="AN295" i="22"/>
  <c r="AM295" i="22"/>
  <c r="AL295" i="22"/>
  <c r="AK295" i="22"/>
  <c r="AJ295" i="22"/>
  <c r="AI295" i="22"/>
  <c r="AH295" i="22"/>
  <c r="AG295" i="22"/>
  <c r="L295" i="22"/>
  <c r="AF295" i="22" s="1"/>
  <c r="K295" i="22"/>
  <c r="J295" i="22"/>
  <c r="I295" i="22"/>
  <c r="AO294" i="22"/>
  <c r="AB294" i="22"/>
  <c r="AA294" i="22"/>
  <c r="Z294" i="22"/>
  <c r="Y294" i="22"/>
  <c r="X294" i="22"/>
  <c r="W294" i="22"/>
  <c r="AN294" i="22"/>
  <c r="AM294" i="22"/>
  <c r="AL294" i="22"/>
  <c r="AK294" i="22"/>
  <c r="AJ294" i="22"/>
  <c r="AI294" i="22"/>
  <c r="AH294" i="22"/>
  <c r="AG294" i="22"/>
  <c r="L294" i="22"/>
  <c r="AF294" i="22" s="1"/>
  <c r="K294" i="22"/>
  <c r="J294" i="22"/>
  <c r="I294" i="22"/>
  <c r="AO293" i="22"/>
  <c r="AB293" i="22"/>
  <c r="AA293" i="22"/>
  <c r="Z293" i="22"/>
  <c r="Y293" i="22"/>
  <c r="X293" i="22"/>
  <c r="W293" i="22"/>
  <c r="AN293" i="22"/>
  <c r="AM293" i="22"/>
  <c r="AL293" i="22"/>
  <c r="AK293" i="22"/>
  <c r="AJ293" i="22"/>
  <c r="AI293" i="22"/>
  <c r="AH293" i="22"/>
  <c r="AG293" i="22"/>
  <c r="L293" i="22"/>
  <c r="AF293" i="22" s="1"/>
  <c r="K293" i="22"/>
  <c r="J293" i="22"/>
  <c r="I293" i="22"/>
  <c r="AO292" i="22"/>
  <c r="AB292" i="22"/>
  <c r="AA292" i="22"/>
  <c r="Z292" i="22"/>
  <c r="Y292" i="22"/>
  <c r="X292" i="22"/>
  <c r="W292" i="22"/>
  <c r="AN292" i="22"/>
  <c r="AM292" i="22"/>
  <c r="AL292" i="22"/>
  <c r="AK292" i="22"/>
  <c r="AJ292" i="22"/>
  <c r="AI292" i="22"/>
  <c r="AH292" i="22"/>
  <c r="AG292" i="22"/>
  <c r="L292" i="22"/>
  <c r="AF292" i="22" s="1"/>
  <c r="K292" i="22"/>
  <c r="J292" i="22"/>
  <c r="I292" i="22"/>
  <c r="AO291" i="22"/>
  <c r="AB291" i="22"/>
  <c r="AA291" i="22"/>
  <c r="Z291" i="22"/>
  <c r="Y291" i="22"/>
  <c r="X291" i="22"/>
  <c r="W291" i="22"/>
  <c r="AN291" i="22"/>
  <c r="AM291" i="22"/>
  <c r="AL291" i="22"/>
  <c r="AK291" i="22"/>
  <c r="AJ291" i="22"/>
  <c r="AI291" i="22"/>
  <c r="AH291" i="22"/>
  <c r="AG291" i="22"/>
  <c r="L291" i="22"/>
  <c r="AF291" i="22" s="1"/>
  <c r="K291" i="22"/>
  <c r="J291" i="22"/>
  <c r="I291" i="22"/>
  <c r="AO290" i="22"/>
  <c r="AB290" i="22"/>
  <c r="AA290" i="22"/>
  <c r="Z290" i="22"/>
  <c r="Y290" i="22"/>
  <c r="X290" i="22"/>
  <c r="W290" i="22"/>
  <c r="AN290" i="22"/>
  <c r="AM290" i="22"/>
  <c r="AL290" i="22"/>
  <c r="AK290" i="22"/>
  <c r="AJ290" i="22"/>
  <c r="AI290" i="22"/>
  <c r="AH290" i="22"/>
  <c r="AG290" i="22"/>
  <c r="L290" i="22"/>
  <c r="AF290" i="22" s="1"/>
  <c r="K290" i="22"/>
  <c r="J290" i="22"/>
  <c r="I290" i="22"/>
  <c r="AO289" i="22"/>
  <c r="AB289" i="22"/>
  <c r="AA289" i="22"/>
  <c r="Z289" i="22"/>
  <c r="Y289" i="22"/>
  <c r="X289" i="22"/>
  <c r="W289" i="22"/>
  <c r="AN289" i="22"/>
  <c r="AM289" i="22"/>
  <c r="AL289" i="22"/>
  <c r="AK289" i="22"/>
  <c r="AJ289" i="22"/>
  <c r="AI289" i="22"/>
  <c r="AH289" i="22"/>
  <c r="AG289" i="22"/>
  <c r="L289" i="22"/>
  <c r="AF289" i="22" s="1"/>
  <c r="K289" i="22"/>
  <c r="J289" i="22"/>
  <c r="I289" i="22"/>
  <c r="AO288" i="22"/>
  <c r="AB288" i="22"/>
  <c r="AA288" i="22"/>
  <c r="Z288" i="22"/>
  <c r="Y288" i="22"/>
  <c r="X288" i="22"/>
  <c r="W288" i="22"/>
  <c r="AN288" i="22"/>
  <c r="AM288" i="22"/>
  <c r="AL288" i="22"/>
  <c r="AK288" i="22"/>
  <c r="AJ288" i="22"/>
  <c r="AI288" i="22"/>
  <c r="AH288" i="22"/>
  <c r="AG288" i="22"/>
  <c r="L288" i="22"/>
  <c r="AF288" i="22" s="1"/>
  <c r="K288" i="22"/>
  <c r="J288" i="22"/>
  <c r="I288" i="22"/>
  <c r="AO287" i="22"/>
  <c r="AB287" i="22"/>
  <c r="AA287" i="22"/>
  <c r="Z287" i="22"/>
  <c r="Y287" i="22"/>
  <c r="X287" i="22"/>
  <c r="W287" i="22"/>
  <c r="AN287" i="22"/>
  <c r="AM287" i="22"/>
  <c r="AL287" i="22"/>
  <c r="AK287" i="22"/>
  <c r="AJ287" i="22"/>
  <c r="AI287" i="22"/>
  <c r="AH287" i="22"/>
  <c r="AG287" i="22"/>
  <c r="L287" i="22"/>
  <c r="AF287" i="22" s="1"/>
  <c r="K287" i="22"/>
  <c r="J287" i="22"/>
  <c r="I287" i="22"/>
  <c r="AO286" i="22"/>
  <c r="AB286" i="22"/>
  <c r="AA286" i="22"/>
  <c r="Z286" i="22"/>
  <c r="Y286" i="22"/>
  <c r="X286" i="22"/>
  <c r="W286" i="22"/>
  <c r="AN286" i="22"/>
  <c r="AM286" i="22"/>
  <c r="AL286" i="22"/>
  <c r="AK286" i="22"/>
  <c r="AJ286" i="22"/>
  <c r="AI286" i="22"/>
  <c r="AH286" i="22"/>
  <c r="AG286" i="22"/>
  <c r="L286" i="22"/>
  <c r="AF286" i="22" s="1"/>
  <c r="K286" i="22"/>
  <c r="J286" i="22"/>
  <c r="I286" i="22"/>
  <c r="B286" i="22"/>
  <c r="A286" i="22"/>
  <c r="AO285" i="22"/>
  <c r="AN285" i="22"/>
  <c r="AM285" i="22"/>
  <c r="AL285" i="22"/>
  <c r="AK285" i="22"/>
  <c r="AJ285" i="22"/>
  <c r="AI285" i="22"/>
  <c r="AH285" i="22"/>
  <c r="AB285" i="22"/>
  <c r="AA285" i="22"/>
  <c r="Z285" i="22"/>
  <c r="Y285" i="22"/>
  <c r="X285" i="22"/>
  <c r="W285" i="22"/>
  <c r="L285" i="22"/>
  <c r="AF285" i="22" s="1"/>
  <c r="K285" i="22"/>
  <c r="J285" i="22"/>
  <c r="I285" i="22"/>
  <c r="AO284" i="22"/>
  <c r="AN284" i="22"/>
  <c r="AM284" i="22"/>
  <c r="AL284" i="22"/>
  <c r="AK284" i="22"/>
  <c r="AJ284" i="22"/>
  <c r="AI284" i="22"/>
  <c r="AH284" i="22"/>
  <c r="AB284" i="22"/>
  <c r="AA284" i="22"/>
  <c r="Z284" i="22"/>
  <c r="Y284" i="22"/>
  <c r="X284" i="22"/>
  <c r="W284" i="22"/>
  <c r="L284" i="22"/>
  <c r="AF284" i="22" s="1"/>
  <c r="K284" i="22"/>
  <c r="J284" i="22"/>
  <c r="I284" i="22"/>
  <c r="AO283" i="22"/>
  <c r="AN283" i="22"/>
  <c r="AM283" i="22"/>
  <c r="AL283" i="22"/>
  <c r="AK283" i="22"/>
  <c r="AJ283" i="22"/>
  <c r="AI283" i="22"/>
  <c r="AH283" i="22"/>
  <c r="AB283" i="22"/>
  <c r="AA283" i="22"/>
  <c r="Z283" i="22"/>
  <c r="Y283" i="22"/>
  <c r="X283" i="22"/>
  <c r="W283" i="22"/>
  <c r="L283" i="22"/>
  <c r="AF283" i="22" s="1"/>
  <c r="K283" i="22"/>
  <c r="J283" i="22"/>
  <c r="I283" i="22"/>
  <c r="AO282" i="22"/>
  <c r="AN282" i="22"/>
  <c r="AM282" i="22"/>
  <c r="AL282" i="22"/>
  <c r="AK282" i="22"/>
  <c r="AJ282" i="22"/>
  <c r="AI282" i="22"/>
  <c r="AH282" i="22"/>
  <c r="AB282" i="22"/>
  <c r="AA282" i="22"/>
  <c r="Z282" i="22"/>
  <c r="Y282" i="22"/>
  <c r="X282" i="22"/>
  <c r="W282" i="22"/>
  <c r="L282" i="22"/>
  <c r="AF282" i="22" s="1"/>
  <c r="K282" i="22"/>
  <c r="J282" i="22"/>
  <c r="I282" i="22"/>
  <c r="AO281" i="22"/>
  <c r="AN281" i="22"/>
  <c r="AM281" i="22"/>
  <c r="AL281" i="22"/>
  <c r="AK281" i="22"/>
  <c r="AJ281" i="22"/>
  <c r="AI281" i="22"/>
  <c r="AH281" i="22"/>
  <c r="AB281" i="22"/>
  <c r="AA281" i="22"/>
  <c r="Z281" i="22"/>
  <c r="Y281" i="22"/>
  <c r="X281" i="22"/>
  <c r="W281" i="22"/>
  <c r="L281" i="22"/>
  <c r="AF281" i="22" s="1"/>
  <c r="K281" i="22"/>
  <c r="J281" i="22"/>
  <c r="I281" i="22"/>
  <c r="AO280" i="22"/>
  <c r="AN280" i="22"/>
  <c r="AM280" i="22"/>
  <c r="AL280" i="22"/>
  <c r="AK280" i="22"/>
  <c r="AJ280" i="22"/>
  <c r="AI280" i="22"/>
  <c r="AH280" i="22"/>
  <c r="AB280" i="22"/>
  <c r="AA280" i="22"/>
  <c r="Z280" i="22"/>
  <c r="Y280" i="22"/>
  <c r="X280" i="22"/>
  <c r="W280" i="22"/>
  <c r="L280" i="22"/>
  <c r="AF280" i="22" s="1"/>
  <c r="K280" i="22"/>
  <c r="J280" i="22"/>
  <c r="I280" i="22"/>
  <c r="AO279" i="22"/>
  <c r="AN279" i="22"/>
  <c r="AM279" i="22"/>
  <c r="AL279" i="22"/>
  <c r="AK279" i="22"/>
  <c r="AJ279" i="22"/>
  <c r="AI279" i="22"/>
  <c r="AH279" i="22"/>
  <c r="AB279" i="22"/>
  <c r="AA279" i="22"/>
  <c r="Z279" i="22"/>
  <c r="Y279" i="22"/>
  <c r="X279" i="22"/>
  <c r="W279" i="22"/>
  <c r="L279" i="22"/>
  <c r="AF279" i="22" s="1"/>
  <c r="K279" i="22"/>
  <c r="J279" i="22"/>
  <c r="I279" i="22"/>
  <c r="AO278" i="22"/>
  <c r="AN278" i="22"/>
  <c r="AM278" i="22"/>
  <c r="AL278" i="22"/>
  <c r="AK278" i="22"/>
  <c r="AJ278" i="22"/>
  <c r="AI278" i="22"/>
  <c r="AH278" i="22"/>
  <c r="AB278" i="22"/>
  <c r="AA278" i="22"/>
  <c r="Z278" i="22"/>
  <c r="Y278" i="22"/>
  <c r="X278" i="22"/>
  <c r="W278" i="22"/>
  <c r="L278" i="22"/>
  <c r="AF278" i="22" s="1"/>
  <c r="K278" i="22"/>
  <c r="J278" i="22"/>
  <c r="I278" i="22"/>
  <c r="AO277" i="22"/>
  <c r="AN277" i="22"/>
  <c r="AM277" i="22"/>
  <c r="AL277" i="22"/>
  <c r="AK277" i="22"/>
  <c r="AJ277" i="22"/>
  <c r="AI277" i="22"/>
  <c r="AH277" i="22"/>
  <c r="AB277" i="22"/>
  <c r="AA277" i="22"/>
  <c r="Z277" i="22"/>
  <c r="Y277" i="22"/>
  <c r="X277" i="22"/>
  <c r="W277" i="22"/>
  <c r="L277" i="22"/>
  <c r="AF277" i="22" s="1"/>
  <c r="K277" i="22"/>
  <c r="J277" i="22"/>
  <c r="I277" i="22"/>
  <c r="AO276" i="22"/>
  <c r="AN276" i="22"/>
  <c r="AM276" i="22"/>
  <c r="AL276" i="22"/>
  <c r="AK276" i="22"/>
  <c r="AJ276" i="22"/>
  <c r="AI276" i="22"/>
  <c r="AH276" i="22"/>
  <c r="AB276" i="22"/>
  <c r="AA276" i="22"/>
  <c r="Z276" i="22"/>
  <c r="Y276" i="22"/>
  <c r="X276" i="22"/>
  <c r="W276" i="22"/>
  <c r="L276" i="22"/>
  <c r="AF276" i="22" s="1"/>
  <c r="K276" i="22"/>
  <c r="J276" i="22"/>
  <c r="I276" i="22"/>
  <c r="AO275" i="22"/>
  <c r="AN275" i="22"/>
  <c r="AM275" i="22"/>
  <c r="AL275" i="22"/>
  <c r="AK275" i="22"/>
  <c r="AJ275" i="22"/>
  <c r="AI275" i="22"/>
  <c r="AH275" i="22"/>
  <c r="AB275" i="22"/>
  <c r="AA275" i="22"/>
  <c r="Z275" i="22"/>
  <c r="Y275" i="22"/>
  <c r="X275" i="22"/>
  <c r="W275" i="22"/>
  <c r="L275" i="22"/>
  <c r="AF275" i="22" s="1"/>
  <c r="K275" i="22"/>
  <c r="J275" i="22"/>
  <c r="I275" i="22"/>
  <c r="AO274" i="22"/>
  <c r="AN274" i="22"/>
  <c r="AM274" i="22"/>
  <c r="AL274" i="22"/>
  <c r="AK274" i="22"/>
  <c r="AJ274" i="22"/>
  <c r="AI274" i="22"/>
  <c r="AH274" i="22"/>
  <c r="AB274" i="22"/>
  <c r="AA274" i="22"/>
  <c r="Z274" i="22"/>
  <c r="Y274" i="22"/>
  <c r="X274" i="22"/>
  <c r="W274" i="22"/>
  <c r="L274" i="22"/>
  <c r="AF274" i="22" s="1"/>
  <c r="K274" i="22"/>
  <c r="J274" i="22"/>
  <c r="I274" i="22"/>
  <c r="B274" i="22"/>
  <c r="A274" i="22"/>
  <c r="AO273" i="22"/>
  <c r="AN273" i="22"/>
  <c r="AM273" i="22"/>
  <c r="AL273" i="22"/>
  <c r="AK273" i="22"/>
  <c r="AJ273" i="22"/>
  <c r="AI273" i="22"/>
  <c r="AH273" i="22"/>
  <c r="AB273" i="22"/>
  <c r="AA273" i="22"/>
  <c r="Z273" i="22"/>
  <c r="Y273" i="22"/>
  <c r="X273" i="22"/>
  <c r="W273" i="22"/>
  <c r="AO272" i="22"/>
  <c r="AN272" i="22"/>
  <c r="AM272" i="22"/>
  <c r="AL272" i="22"/>
  <c r="AK272" i="22"/>
  <c r="AJ272" i="22"/>
  <c r="AI272" i="22"/>
  <c r="AH272" i="22"/>
  <c r="AB272" i="22"/>
  <c r="AA272" i="22"/>
  <c r="Z272" i="22"/>
  <c r="Y272" i="22"/>
  <c r="X272" i="22"/>
  <c r="W272" i="22"/>
  <c r="AO271" i="22"/>
  <c r="AN271" i="22"/>
  <c r="AM271" i="22"/>
  <c r="AL271" i="22"/>
  <c r="AK271" i="22"/>
  <c r="AJ271" i="22"/>
  <c r="AI271" i="22"/>
  <c r="AH271" i="22"/>
  <c r="AB271" i="22"/>
  <c r="AA271" i="22"/>
  <c r="Z271" i="22"/>
  <c r="Y271" i="22"/>
  <c r="X271" i="22"/>
  <c r="W271" i="22"/>
  <c r="AO270" i="22"/>
  <c r="AN270" i="22"/>
  <c r="AM270" i="22"/>
  <c r="AL270" i="22"/>
  <c r="AK270" i="22"/>
  <c r="AJ270" i="22"/>
  <c r="AI270" i="22"/>
  <c r="AH270" i="22"/>
  <c r="AB270" i="22"/>
  <c r="AA270" i="22"/>
  <c r="Z270" i="22"/>
  <c r="Y270" i="22"/>
  <c r="X270" i="22"/>
  <c r="W270" i="22"/>
  <c r="AO269" i="22"/>
  <c r="AN269" i="22"/>
  <c r="AM269" i="22"/>
  <c r="AL269" i="22"/>
  <c r="AK269" i="22"/>
  <c r="AJ269" i="22"/>
  <c r="AI269" i="22"/>
  <c r="AH269" i="22"/>
  <c r="AB269" i="22"/>
  <c r="AA269" i="22"/>
  <c r="Z269" i="22"/>
  <c r="Y269" i="22"/>
  <c r="X269" i="22"/>
  <c r="W269" i="22"/>
  <c r="AO268" i="22"/>
  <c r="AN268" i="22"/>
  <c r="AM268" i="22"/>
  <c r="AL268" i="22"/>
  <c r="AK268" i="22"/>
  <c r="AJ268" i="22"/>
  <c r="AI268" i="22"/>
  <c r="AH268" i="22"/>
  <c r="AB268" i="22"/>
  <c r="AA268" i="22"/>
  <c r="Z268" i="22"/>
  <c r="Y268" i="22"/>
  <c r="X268" i="22"/>
  <c r="W268" i="22"/>
  <c r="AO267" i="22"/>
  <c r="AN267" i="22"/>
  <c r="AM267" i="22"/>
  <c r="AL267" i="22"/>
  <c r="AK267" i="22"/>
  <c r="AJ267" i="22"/>
  <c r="AI267" i="22"/>
  <c r="AH267" i="22"/>
  <c r="AB267" i="22"/>
  <c r="AA267" i="22"/>
  <c r="Z267" i="22"/>
  <c r="Y267" i="22"/>
  <c r="X267" i="22"/>
  <c r="W267" i="22"/>
  <c r="AO266" i="22"/>
  <c r="AN266" i="22"/>
  <c r="AM266" i="22"/>
  <c r="AL266" i="22"/>
  <c r="AK266" i="22"/>
  <c r="AJ266" i="22"/>
  <c r="AI266" i="22"/>
  <c r="AH266" i="22"/>
  <c r="AB266" i="22"/>
  <c r="AA266" i="22"/>
  <c r="Z266" i="22"/>
  <c r="Y266" i="22"/>
  <c r="X266" i="22"/>
  <c r="W266" i="22"/>
  <c r="AO265" i="22"/>
  <c r="AN265" i="22"/>
  <c r="AM265" i="22"/>
  <c r="AL265" i="22"/>
  <c r="AK265" i="22"/>
  <c r="AJ265" i="22"/>
  <c r="AI265" i="22"/>
  <c r="AH265" i="22"/>
  <c r="AB265" i="22"/>
  <c r="AA265" i="22"/>
  <c r="Z265" i="22"/>
  <c r="Y265" i="22"/>
  <c r="X265" i="22"/>
  <c r="W265" i="22"/>
  <c r="AO264" i="22"/>
  <c r="AN264" i="22"/>
  <c r="AM264" i="22"/>
  <c r="AL264" i="22"/>
  <c r="AK264" i="22"/>
  <c r="AJ264" i="22"/>
  <c r="AI264" i="22"/>
  <c r="AH264" i="22"/>
  <c r="AB264" i="22"/>
  <c r="AA264" i="22"/>
  <c r="Z264" i="22"/>
  <c r="Y264" i="22"/>
  <c r="X264" i="22"/>
  <c r="W264" i="22"/>
  <c r="AO263" i="22"/>
  <c r="AN263" i="22"/>
  <c r="AM263" i="22"/>
  <c r="AL263" i="22"/>
  <c r="AK263" i="22"/>
  <c r="AJ263" i="22"/>
  <c r="AI263" i="22"/>
  <c r="AH263" i="22"/>
  <c r="AB263" i="22"/>
  <c r="AA263" i="22"/>
  <c r="Z263" i="22"/>
  <c r="Y263" i="22"/>
  <c r="X263" i="22"/>
  <c r="W263" i="22"/>
  <c r="AO262" i="22"/>
  <c r="AN262" i="22"/>
  <c r="AM262" i="22"/>
  <c r="AL262" i="22"/>
  <c r="AK262" i="22"/>
  <c r="AJ262" i="22"/>
  <c r="AI262" i="22"/>
  <c r="AH262" i="22"/>
  <c r="AB262" i="22"/>
  <c r="AA262" i="22"/>
  <c r="Z262" i="22"/>
  <c r="Y262" i="22"/>
  <c r="X262" i="22"/>
  <c r="W262" i="22"/>
  <c r="B262" i="22"/>
  <c r="A262" i="22"/>
  <c r="AO261" i="22"/>
  <c r="AN261" i="22"/>
  <c r="AM261" i="22"/>
  <c r="AL261" i="22"/>
  <c r="AK261" i="22"/>
  <c r="AJ261" i="22"/>
  <c r="AI261" i="22"/>
  <c r="AH261" i="22"/>
  <c r="AB261" i="22"/>
  <c r="AA261" i="22"/>
  <c r="Z261" i="22"/>
  <c r="Y261" i="22"/>
  <c r="X261" i="22"/>
  <c r="W261" i="22"/>
  <c r="L261" i="22"/>
  <c r="AF261" i="22" s="1"/>
  <c r="K261" i="22"/>
  <c r="J261" i="22"/>
  <c r="I261" i="22"/>
  <c r="AO260" i="22"/>
  <c r="AN260" i="22"/>
  <c r="AM260" i="22"/>
  <c r="AL260" i="22"/>
  <c r="AK260" i="22"/>
  <c r="AJ260" i="22"/>
  <c r="AI260" i="22"/>
  <c r="AH260" i="22"/>
  <c r="AB260" i="22"/>
  <c r="AA260" i="22"/>
  <c r="Z260" i="22"/>
  <c r="Y260" i="22"/>
  <c r="X260" i="22"/>
  <c r="W260" i="22"/>
  <c r="L260" i="22"/>
  <c r="AF260" i="22" s="1"/>
  <c r="K260" i="22"/>
  <c r="J260" i="22"/>
  <c r="I260" i="22"/>
  <c r="AO259" i="22"/>
  <c r="AN259" i="22"/>
  <c r="AM259" i="22"/>
  <c r="AL259" i="22"/>
  <c r="AK259" i="22"/>
  <c r="AJ259" i="22"/>
  <c r="AI259" i="22"/>
  <c r="AH259" i="22"/>
  <c r="AB259" i="22"/>
  <c r="AA259" i="22"/>
  <c r="Z259" i="22"/>
  <c r="Y259" i="22"/>
  <c r="X259" i="22"/>
  <c r="W259" i="22"/>
  <c r="L259" i="22"/>
  <c r="AF259" i="22" s="1"/>
  <c r="K259" i="22"/>
  <c r="J259" i="22"/>
  <c r="I259" i="22"/>
  <c r="AO258" i="22"/>
  <c r="AN258" i="22"/>
  <c r="AM258" i="22"/>
  <c r="AL258" i="22"/>
  <c r="AK258" i="22"/>
  <c r="AJ258" i="22"/>
  <c r="AI258" i="22"/>
  <c r="AH258" i="22"/>
  <c r="AB258" i="22"/>
  <c r="AA258" i="22"/>
  <c r="Z258" i="22"/>
  <c r="Y258" i="22"/>
  <c r="X258" i="22"/>
  <c r="W258" i="22"/>
  <c r="L258" i="22"/>
  <c r="AF258" i="22" s="1"/>
  <c r="K258" i="22"/>
  <c r="J258" i="22"/>
  <c r="I258" i="22"/>
  <c r="AO257" i="22"/>
  <c r="AN257" i="22"/>
  <c r="AM257" i="22"/>
  <c r="AL257" i="22"/>
  <c r="AK257" i="22"/>
  <c r="AJ257" i="22"/>
  <c r="AI257" i="22"/>
  <c r="AH257" i="22"/>
  <c r="AB257" i="22"/>
  <c r="AA257" i="22"/>
  <c r="Z257" i="22"/>
  <c r="Y257" i="22"/>
  <c r="X257" i="22"/>
  <c r="W257" i="22"/>
  <c r="L257" i="22"/>
  <c r="AF257" i="22" s="1"/>
  <c r="K257" i="22"/>
  <c r="J257" i="22"/>
  <c r="I257" i="22"/>
  <c r="AO256" i="22"/>
  <c r="AN256" i="22"/>
  <c r="AM256" i="22"/>
  <c r="AL256" i="22"/>
  <c r="AK256" i="22"/>
  <c r="AJ256" i="22"/>
  <c r="AI256" i="22"/>
  <c r="AH256" i="22"/>
  <c r="AB256" i="22"/>
  <c r="AA256" i="22"/>
  <c r="Z256" i="22"/>
  <c r="Y256" i="22"/>
  <c r="X256" i="22"/>
  <c r="W256" i="22"/>
  <c r="L256" i="22"/>
  <c r="AF256" i="22" s="1"/>
  <c r="K256" i="22"/>
  <c r="J256" i="22"/>
  <c r="I256" i="22"/>
  <c r="AO255" i="22"/>
  <c r="AN255" i="22"/>
  <c r="AM255" i="22"/>
  <c r="AL255" i="22"/>
  <c r="AK255" i="22"/>
  <c r="AJ255" i="22"/>
  <c r="AI255" i="22"/>
  <c r="AH255" i="22"/>
  <c r="AB255" i="22"/>
  <c r="AA255" i="22"/>
  <c r="Z255" i="22"/>
  <c r="Y255" i="22"/>
  <c r="X255" i="22"/>
  <c r="W255" i="22"/>
  <c r="L255" i="22"/>
  <c r="AF255" i="22" s="1"/>
  <c r="K255" i="22"/>
  <c r="J255" i="22"/>
  <c r="I255" i="22"/>
  <c r="AO254" i="22"/>
  <c r="AN254" i="22"/>
  <c r="AM254" i="22"/>
  <c r="AL254" i="22"/>
  <c r="AK254" i="22"/>
  <c r="AJ254" i="22"/>
  <c r="AI254" i="22"/>
  <c r="AH254" i="22"/>
  <c r="AB254" i="22"/>
  <c r="AA254" i="22"/>
  <c r="Z254" i="22"/>
  <c r="Y254" i="22"/>
  <c r="X254" i="22"/>
  <c r="W254" i="22"/>
  <c r="L254" i="22"/>
  <c r="AF254" i="22" s="1"/>
  <c r="K254" i="22"/>
  <c r="J254" i="22"/>
  <c r="I254" i="22"/>
  <c r="AO253" i="22"/>
  <c r="AN253" i="22"/>
  <c r="AM253" i="22"/>
  <c r="AL253" i="22"/>
  <c r="AK253" i="22"/>
  <c r="AJ253" i="22"/>
  <c r="AI253" i="22"/>
  <c r="AH253" i="22"/>
  <c r="AB253" i="22"/>
  <c r="AA253" i="22"/>
  <c r="Z253" i="22"/>
  <c r="Y253" i="22"/>
  <c r="X253" i="22"/>
  <c r="W253" i="22"/>
  <c r="L253" i="22"/>
  <c r="AF253" i="22" s="1"/>
  <c r="K253" i="22"/>
  <c r="J253" i="22"/>
  <c r="I253" i="22"/>
  <c r="AO252" i="22"/>
  <c r="AN252" i="22"/>
  <c r="AM252" i="22"/>
  <c r="AL252" i="22"/>
  <c r="AK252" i="22"/>
  <c r="AJ252" i="22"/>
  <c r="AI252" i="22"/>
  <c r="AH252" i="22"/>
  <c r="AB252" i="22"/>
  <c r="AA252" i="22"/>
  <c r="Z252" i="22"/>
  <c r="Y252" i="22"/>
  <c r="X252" i="22"/>
  <c r="W252" i="22"/>
  <c r="L252" i="22"/>
  <c r="AF252" i="22" s="1"/>
  <c r="K252" i="22"/>
  <c r="J252" i="22"/>
  <c r="I252" i="22"/>
  <c r="AO251" i="22"/>
  <c r="AN251" i="22"/>
  <c r="AM251" i="22"/>
  <c r="AL251" i="22"/>
  <c r="AK251" i="22"/>
  <c r="AJ251" i="22"/>
  <c r="AI251" i="22"/>
  <c r="AH251" i="22"/>
  <c r="AB251" i="22"/>
  <c r="AA251" i="22"/>
  <c r="Z251" i="22"/>
  <c r="Y251" i="22"/>
  <c r="X251" i="22"/>
  <c r="W251" i="22"/>
  <c r="L251" i="22"/>
  <c r="AF251" i="22" s="1"/>
  <c r="K251" i="22"/>
  <c r="J251" i="22"/>
  <c r="I251" i="22"/>
  <c r="AO250" i="22"/>
  <c r="AN250" i="22"/>
  <c r="AM250" i="22"/>
  <c r="AL250" i="22"/>
  <c r="AK250" i="22"/>
  <c r="AJ250" i="22"/>
  <c r="AI250" i="22"/>
  <c r="AH250" i="22"/>
  <c r="AB250" i="22"/>
  <c r="AA250" i="22"/>
  <c r="Z250" i="22"/>
  <c r="Y250" i="22"/>
  <c r="X250" i="22"/>
  <c r="W250" i="22"/>
  <c r="L250" i="22"/>
  <c r="AF250" i="22" s="1"/>
  <c r="K250" i="22"/>
  <c r="J250" i="22"/>
  <c r="I250" i="22"/>
  <c r="A250" i="22"/>
  <c r="AO249" i="22"/>
  <c r="AN249" i="22"/>
  <c r="AM249" i="22"/>
  <c r="AL249" i="22"/>
  <c r="AK249" i="22"/>
  <c r="AJ249" i="22"/>
  <c r="AI249" i="22"/>
  <c r="AH249" i="22"/>
  <c r="AB249" i="22"/>
  <c r="AA249" i="22"/>
  <c r="Z249" i="22"/>
  <c r="Y249" i="22"/>
  <c r="X249" i="22"/>
  <c r="W249" i="22"/>
  <c r="AO248" i="22"/>
  <c r="AN248" i="22"/>
  <c r="AM248" i="22"/>
  <c r="AL248" i="22"/>
  <c r="AK248" i="22"/>
  <c r="AJ248" i="22"/>
  <c r="AI248" i="22"/>
  <c r="AH248" i="22"/>
  <c r="AB248" i="22"/>
  <c r="AA248" i="22"/>
  <c r="Z248" i="22"/>
  <c r="Y248" i="22"/>
  <c r="X248" i="22"/>
  <c r="W248" i="22"/>
  <c r="AO247" i="22"/>
  <c r="AN247" i="22"/>
  <c r="AM247" i="22"/>
  <c r="AL247" i="22"/>
  <c r="AK247" i="22"/>
  <c r="AJ247" i="22"/>
  <c r="AI247" i="22"/>
  <c r="AH247" i="22"/>
  <c r="AB247" i="22"/>
  <c r="AA247" i="22"/>
  <c r="Z247" i="22"/>
  <c r="Y247" i="22"/>
  <c r="X247" i="22"/>
  <c r="W247" i="22"/>
  <c r="AO246" i="22"/>
  <c r="AN246" i="22"/>
  <c r="AM246" i="22"/>
  <c r="AL246" i="22"/>
  <c r="AK246" i="22"/>
  <c r="AJ246" i="22"/>
  <c r="AI246" i="22"/>
  <c r="AH246" i="22"/>
  <c r="AB246" i="22"/>
  <c r="AA246" i="22"/>
  <c r="Z246" i="22"/>
  <c r="Y246" i="22"/>
  <c r="X246" i="22"/>
  <c r="W246" i="22"/>
  <c r="AO245" i="22"/>
  <c r="AN245" i="22"/>
  <c r="AM245" i="22"/>
  <c r="AL245" i="22"/>
  <c r="AK245" i="22"/>
  <c r="AJ245" i="22"/>
  <c r="AI245" i="22"/>
  <c r="AH245" i="22"/>
  <c r="AB245" i="22"/>
  <c r="AA245" i="22"/>
  <c r="Z245" i="22"/>
  <c r="Y245" i="22"/>
  <c r="X245" i="22"/>
  <c r="W245" i="22"/>
  <c r="AO244" i="22"/>
  <c r="AN244" i="22"/>
  <c r="AM244" i="22"/>
  <c r="AL244" i="22"/>
  <c r="AK244" i="22"/>
  <c r="AJ244" i="22"/>
  <c r="AI244" i="22"/>
  <c r="AH244" i="22"/>
  <c r="AB244" i="22"/>
  <c r="AA244" i="22"/>
  <c r="Z244" i="22"/>
  <c r="Y244" i="22"/>
  <c r="X244" i="22"/>
  <c r="W244" i="22"/>
  <c r="AO243" i="22"/>
  <c r="AN243" i="22"/>
  <c r="AM243" i="22"/>
  <c r="AL243" i="22"/>
  <c r="AK243" i="22"/>
  <c r="AJ243" i="22"/>
  <c r="AI243" i="22"/>
  <c r="AH243" i="22"/>
  <c r="AB243" i="22"/>
  <c r="AA243" i="22"/>
  <c r="Z243" i="22"/>
  <c r="Y243" i="22"/>
  <c r="X243" i="22"/>
  <c r="W243" i="22"/>
  <c r="AO242" i="22"/>
  <c r="AN242" i="22"/>
  <c r="AM242" i="22"/>
  <c r="AL242" i="22"/>
  <c r="AK242" i="22"/>
  <c r="AJ242" i="22"/>
  <c r="AI242" i="22"/>
  <c r="AH242" i="22"/>
  <c r="AB242" i="22"/>
  <c r="AA242" i="22"/>
  <c r="Z242" i="22"/>
  <c r="Y242" i="22"/>
  <c r="X242" i="22"/>
  <c r="W242" i="22"/>
  <c r="AO241" i="22"/>
  <c r="AN241" i="22"/>
  <c r="AM241" i="22"/>
  <c r="AL241" i="22"/>
  <c r="AK241" i="22"/>
  <c r="AJ241" i="22"/>
  <c r="AI241" i="22"/>
  <c r="AH241" i="22"/>
  <c r="AB241" i="22"/>
  <c r="AA241" i="22"/>
  <c r="Z241" i="22"/>
  <c r="Y241" i="22"/>
  <c r="X241" i="22"/>
  <c r="W241" i="22"/>
  <c r="AO240" i="22"/>
  <c r="AN240" i="22"/>
  <c r="AM240" i="22"/>
  <c r="AL240" i="22"/>
  <c r="AK240" i="22"/>
  <c r="AJ240" i="22"/>
  <c r="AI240" i="22"/>
  <c r="AH240" i="22"/>
  <c r="AB240" i="22"/>
  <c r="AA240" i="22"/>
  <c r="Z240" i="22"/>
  <c r="Y240" i="22"/>
  <c r="X240" i="22"/>
  <c r="W240" i="22"/>
  <c r="AO239" i="22"/>
  <c r="AN239" i="22"/>
  <c r="AM239" i="22"/>
  <c r="AL239" i="22"/>
  <c r="AK239" i="22"/>
  <c r="AJ239" i="22"/>
  <c r="AI239" i="22"/>
  <c r="AH239" i="22"/>
  <c r="AB239" i="22"/>
  <c r="AA239" i="22"/>
  <c r="Z239" i="22"/>
  <c r="Y239" i="22"/>
  <c r="X239" i="22"/>
  <c r="W239" i="22"/>
  <c r="AO238" i="22"/>
  <c r="AN238" i="22"/>
  <c r="AM238" i="22"/>
  <c r="AL238" i="22"/>
  <c r="AK238" i="22"/>
  <c r="AJ238" i="22"/>
  <c r="AI238" i="22"/>
  <c r="AH238" i="22"/>
  <c r="AB238" i="22"/>
  <c r="AA238" i="22"/>
  <c r="Z238" i="22"/>
  <c r="Y238" i="22"/>
  <c r="X238" i="22"/>
  <c r="W238" i="22"/>
  <c r="B238" i="22"/>
  <c r="A238" i="22"/>
  <c r="AO237" i="22"/>
  <c r="AN237" i="22"/>
  <c r="AM237" i="22"/>
  <c r="AL237" i="22"/>
  <c r="AK237" i="22"/>
  <c r="AJ237" i="22"/>
  <c r="AI237" i="22"/>
  <c r="AH237" i="22"/>
  <c r="AB237" i="22"/>
  <c r="AA237" i="22"/>
  <c r="Z237" i="22"/>
  <c r="Y237" i="22"/>
  <c r="X237" i="22"/>
  <c r="W237" i="22"/>
  <c r="AF237" i="22"/>
  <c r="AO236" i="22"/>
  <c r="AN236" i="22"/>
  <c r="AM236" i="22"/>
  <c r="AL236" i="22"/>
  <c r="AK236" i="22"/>
  <c r="AJ236" i="22"/>
  <c r="AI236" i="22"/>
  <c r="AH236" i="22"/>
  <c r="AB236" i="22"/>
  <c r="AA236" i="22"/>
  <c r="Z236" i="22"/>
  <c r="Y236" i="22"/>
  <c r="X236" i="22"/>
  <c r="W236" i="22"/>
  <c r="AF236" i="22"/>
  <c r="AO235" i="22"/>
  <c r="AN235" i="22"/>
  <c r="AM235" i="22"/>
  <c r="AL235" i="22"/>
  <c r="AK235" i="22"/>
  <c r="AJ235" i="22"/>
  <c r="AI235" i="22"/>
  <c r="AH235" i="22"/>
  <c r="AB235" i="22"/>
  <c r="AA235" i="22"/>
  <c r="Z235" i="22"/>
  <c r="Y235" i="22"/>
  <c r="X235" i="22"/>
  <c r="W235" i="22"/>
  <c r="AF235" i="22"/>
  <c r="AO234" i="22"/>
  <c r="AN234" i="22"/>
  <c r="AM234" i="22"/>
  <c r="AL234" i="22"/>
  <c r="AK234" i="22"/>
  <c r="AJ234" i="22"/>
  <c r="AI234" i="22"/>
  <c r="AH234" i="22"/>
  <c r="AB234" i="22"/>
  <c r="AA234" i="22"/>
  <c r="Z234" i="22"/>
  <c r="Y234" i="22"/>
  <c r="X234" i="22"/>
  <c r="W234" i="22"/>
  <c r="AF234" i="22"/>
  <c r="AO233" i="22"/>
  <c r="AN233" i="22"/>
  <c r="AM233" i="22"/>
  <c r="AL233" i="22"/>
  <c r="AK233" i="22"/>
  <c r="AJ233" i="22"/>
  <c r="AI233" i="22"/>
  <c r="AH233" i="22"/>
  <c r="AB233" i="22"/>
  <c r="AA233" i="22"/>
  <c r="Z233" i="22"/>
  <c r="Y233" i="22"/>
  <c r="X233" i="22"/>
  <c r="W233" i="22"/>
  <c r="AF233" i="22"/>
  <c r="AO232" i="22"/>
  <c r="AN232" i="22"/>
  <c r="AM232" i="22"/>
  <c r="AL232" i="22"/>
  <c r="AK232" i="22"/>
  <c r="AJ232" i="22"/>
  <c r="AI232" i="22"/>
  <c r="AH232" i="22"/>
  <c r="AB232" i="22"/>
  <c r="AA232" i="22"/>
  <c r="Z232" i="22"/>
  <c r="Y232" i="22"/>
  <c r="X232" i="22"/>
  <c r="W232" i="22"/>
  <c r="AF232" i="22"/>
  <c r="AO231" i="22"/>
  <c r="AN231" i="22"/>
  <c r="AM231" i="22"/>
  <c r="AL231" i="22"/>
  <c r="AK231" i="22"/>
  <c r="AJ231" i="22"/>
  <c r="AI231" i="22"/>
  <c r="AH231" i="22"/>
  <c r="AB231" i="22"/>
  <c r="AA231" i="22"/>
  <c r="Z231" i="22"/>
  <c r="Y231" i="22"/>
  <c r="X231" i="22"/>
  <c r="W231" i="22"/>
  <c r="AF231" i="22"/>
  <c r="AO230" i="22"/>
  <c r="AN230" i="22"/>
  <c r="AM230" i="22"/>
  <c r="AL230" i="22"/>
  <c r="AK230" i="22"/>
  <c r="AJ230" i="22"/>
  <c r="AI230" i="22"/>
  <c r="AH230" i="22"/>
  <c r="AB230" i="22"/>
  <c r="AA230" i="22"/>
  <c r="Z230" i="22"/>
  <c r="Y230" i="22"/>
  <c r="X230" i="22"/>
  <c r="W230" i="22"/>
  <c r="AF230" i="22"/>
  <c r="AO229" i="22"/>
  <c r="AN229" i="22"/>
  <c r="AM229" i="22"/>
  <c r="AL229" i="22"/>
  <c r="AK229" i="22"/>
  <c r="AJ229" i="22"/>
  <c r="AI229" i="22"/>
  <c r="AH229" i="22"/>
  <c r="AB229" i="22"/>
  <c r="AA229" i="22"/>
  <c r="Z229" i="22"/>
  <c r="Y229" i="22"/>
  <c r="X229" i="22"/>
  <c r="W229" i="22"/>
  <c r="AF229" i="22"/>
  <c r="AO228" i="22"/>
  <c r="AN228" i="22"/>
  <c r="AM228" i="22"/>
  <c r="AL228" i="22"/>
  <c r="AK228" i="22"/>
  <c r="AJ228" i="22"/>
  <c r="AI228" i="22"/>
  <c r="AH228" i="22"/>
  <c r="AB228" i="22"/>
  <c r="AA228" i="22"/>
  <c r="Z228" i="22"/>
  <c r="Y228" i="22"/>
  <c r="X228" i="22"/>
  <c r="W228" i="22"/>
  <c r="AF228" i="22"/>
  <c r="AO227" i="22"/>
  <c r="AN227" i="22"/>
  <c r="AM227" i="22"/>
  <c r="AL227" i="22"/>
  <c r="AK227" i="22"/>
  <c r="AJ227" i="22"/>
  <c r="AI227" i="22"/>
  <c r="AH227" i="22"/>
  <c r="AB227" i="22"/>
  <c r="AA227" i="22"/>
  <c r="Z227" i="22"/>
  <c r="Y227" i="22"/>
  <c r="X227" i="22"/>
  <c r="W227" i="22"/>
  <c r="AF227" i="22"/>
  <c r="AO226" i="22"/>
  <c r="AN226" i="22"/>
  <c r="AM226" i="22"/>
  <c r="AL226" i="22"/>
  <c r="AK226" i="22"/>
  <c r="AJ226" i="22"/>
  <c r="AI226" i="22"/>
  <c r="AH226" i="22"/>
  <c r="AB226" i="22"/>
  <c r="AA226" i="22"/>
  <c r="Z226" i="22"/>
  <c r="Y226" i="22"/>
  <c r="X226" i="22"/>
  <c r="W226" i="22"/>
  <c r="AF226" i="22"/>
  <c r="B226" i="22"/>
  <c r="A226" i="22"/>
  <c r="AO213" i="22"/>
  <c r="AN213" i="22"/>
  <c r="AM213" i="22"/>
  <c r="AL213" i="22"/>
  <c r="AK213" i="22"/>
  <c r="AJ213" i="22"/>
  <c r="AI213" i="22"/>
  <c r="AH213" i="22"/>
  <c r="AB213" i="22"/>
  <c r="AA213" i="22"/>
  <c r="Z213" i="22"/>
  <c r="Y213" i="22"/>
  <c r="X213" i="22"/>
  <c r="W213" i="22"/>
  <c r="AO212" i="22"/>
  <c r="AN212" i="22"/>
  <c r="AM212" i="22"/>
  <c r="AL212" i="22"/>
  <c r="AK212" i="22"/>
  <c r="AJ212" i="22"/>
  <c r="AI212" i="22"/>
  <c r="AH212" i="22"/>
  <c r="AB212" i="22"/>
  <c r="AA212" i="22"/>
  <c r="Z212" i="22"/>
  <c r="Y212" i="22"/>
  <c r="X212" i="22"/>
  <c r="W212" i="22"/>
  <c r="AO211" i="22"/>
  <c r="AN211" i="22"/>
  <c r="AM211" i="22"/>
  <c r="AL211" i="22"/>
  <c r="AK211" i="22"/>
  <c r="AJ211" i="22"/>
  <c r="AI211" i="22"/>
  <c r="AH211" i="22"/>
  <c r="AB211" i="22"/>
  <c r="AA211" i="22"/>
  <c r="Z211" i="22"/>
  <c r="Y211" i="22"/>
  <c r="X211" i="22"/>
  <c r="W211" i="22"/>
  <c r="AO210" i="22"/>
  <c r="AN210" i="22"/>
  <c r="AM210" i="22"/>
  <c r="AL210" i="22"/>
  <c r="AK210" i="22"/>
  <c r="AJ210" i="22"/>
  <c r="AI210" i="22"/>
  <c r="AH210" i="22"/>
  <c r="AB210" i="22"/>
  <c r="AA210" i="22"/>
  <c r="Z210" i="22"/>
  <c r="Y210" i="22"/>
  <c r="X210" i="22"/>
  <c r="W210" i="22"/>
  <c r="AO209" i="22"/>
  <c r="AN209" i="22"/>
  <c r="AM209" i="22"/>
  <c r="AL209" i="22"/>
  <c r="AK209" i="22"/>
  <c r="AJ209" i="22"/>
  <c r="AI209" i="22"/>
  <c r="AH209" i="22"/>
  <c r="AB209" i="22"/>
  <c r="AA209" i="22"/>
  <c r="Z209" i="22"/>
  <c r="Y209" i="22"/>
  <c r="X209" i="22"/>
  <c r="W209" i="22"/>
  <c r="AO208" i="22"/>
  <c r="AN208" i="22"/>
  <c r="AM208" i="22"/>
  <c r="AL208" i="22"/>
  <c r="AK208" i="22"/>
  <c r="AJ208" i="22"/>
  <c r="AI208" i="22"/>
  <c r="AH208" i="22"/>
  <c r="AB208" i="22"/>
  <c r="AA208" i="22"/>
  <c r="Z208" i="22"/>
  <c r="Y208" i="22"/>
  <c r="X208" i="22"/>
  <c r="W208" i="22"/>
  <c r="AO207" i="22"/>
  <c r="AN207" i="22"/>
  <c r="AM207" i="22"/>
  <c r="AL207" i="22"/>
  <c r="AK207" i="22"/>
  <c r="AJ207" i="22"/>
  <c r="AI207" i="22"/>
  <c r="AH207" i="22"/>
  <c r="AB207" i="22"/>
  <c r="AA207" i="22"/>
  <c r="Z207" i="22"/>
  <c r="Y207" i="22"/>
  <c r="X207" i="22"/>
  <c r="W207" i="22"/>
  <c r="AO206" i="22"/>
  <c r="AN206" i="22"/>
  <c r="AM206" i="22"/>
  <c r="AL206" i="22"/>
  <c r="AK206" i="22"/>
  <c r="AJ206" i="22"/>
  <c r="AI206" i="22"/>
  <c r="AH206" i="22"/>
  <c r="AB206" i="22"/>
  <c r="AA206" i="22"/>
  <c r="Z206" i="22"/>
  <c r="Y206" i="22"/>
  <c r="X206" i="22"/>
  <c r="W206" i="22"/>
  <c r="AO205" i="22"/>
  <c r="AN205" i="22"/>
  <c r="AM205" i="22"/>
  <c r="AL205" i="22"/>
  <c r="AK205" i="22"/>
  <c r="AJ205" i="22"/>
  <c r="AI205" i="22"/>
  <c r="AH205" i="22"/>
  <c r="AB205" i="22"/>
  <c r="AA205" i="22"/>
  <c r="Z205" i="22"/>
  <c r="Y205" i="22"/>
  <c r="X205" i="22"/>
  <c r="W205" i="22"/>
  <c r="AO204" i="22"/>
  <c r="AN204" i="22"/>
  <c r="AM204" i="22"/>
  <c r="AL204" i="22"/>
  <c r="AK204" i="22"/>
  <c r="AJ204" i="22"/>
  <c r="AI204" i="22"/>
  <c r="AH204" i="22"/>
  <c r="AB204" i="22"/>
  <c r="AA204" i="22"/>
  <c r="Z204" i="22"/>
  <c r="Y204" i="22"/>
  <c r="X204" i="22"/>
  <c r="W204" i="22"/>
  <c r="AO203" i="22"/>
  <c r="AN203" i="22"/>
  <c r="AM203" i="22"/>
  <c r="AL203" i="22"/>
  <c r="AK203" i="22"/>
  <c r="AJ203" i="22"/>
  <c r="AI203" i="22"/>
  <c r="AH203" i="22"/>
  <c r="AB203" i="22"/>
  <c r="AA203" i="22"/>
  <c r="Z203" i="22"/>
  <c r="Y203" i="22"/>
  <c r="X203" i="22"/>
  <c r="W203" i="22"/>
  <c r="AO202" i="22"/>
  <c r="AN202" i="22"/>
  <c r="AM202" i="22"/>
  <c r="AL202" i="22"/>
  <c r="AK202" i="22"/>
  <c r="AJ202" i="22"/>
  <c r="AI202" i="22"/>
  <c r="AH202" i="22"/>
  <c r="AB202" i="22"/>
  <c r="AA202" i="22"/>
  <c r="Z202" i="22"/>
  <c r="Y202" i="22"/>
  <c r="X202" i="22"/>
  <c r="W202" i="22"/>
  <c r="B202" i="22"/>
  <c r="A202" i="22"/>
  <c r="AO201" i="22"/>
  <c r="AN201" i="22"/>
  <c r="AM201" i="22"/>
  <c r="AL201" i="22"/>
  <c r="AK201" i="22"/>
  <c r="AJ201" i="22"/>
  <c r="AI201" i="22"/>
  <c r="AH201" i="22"/>
  <c r="AB201" i="22"/>
  <c r="AA201" i="22"/>
  <c r="Z201" i="22"/>
  <c r="Y201" i="22"/>
  <c r="X201" i="22"/>
  <c r="W201" i="22"/>
  <c r="L201" i="22"/>
  <c r="AF201" i="22" s="1"/>
  <c r="K201" i="22"/>
  <c r="J201" i="22"/>
  <c r="I201" i="22"/>
  <c r="AO200" i="22"/>
  <c r="AN200" i="22"/>
  <c r="AM200" i="22"/>
  <c r="AL200" i="22"/>
  <c r="AK200" i="22"/>
  <c r="AJ200" i="22"/>
  <c r="AI200" i="22"/>
  <c r="AH200" i="22"/>
  <c r="AB200" i="22"/>
  <c r="AA200" i="22"/>
  <c r="Z200" i="22"/>
  <c r="Y200" i="22"/>
  <c r="X200" i="22"/>
  <c r="W200" i="22"/>
  <c r="L200" i="22"/>
  <c r="AF200" i="22" s="1"/>
  <c r="K200" i="22"/>
  <c r="J200" i="22"/>
  <c r="I200" i="22"/>
  <c r="AO199" i="22"/>
  <c r="AN199" i="22"/>
  <c r="AM199" i="22"/>
  <c r="AL199" i="22"/>
  <c r="AK199" i="22"/>
  <c r="AJ199" i="22"/>
  <c r="AI199" i="22"/>
  <c r="AH199" i="22"/>
  <c r="AB199" i="22"/>
  <c r="AA199" i="22"/>
  <c r="Z199" i="22"/>
  <c r="Y199" i="22"/>
  <c r="X199" i="22"/>
  <c r="W199" i="22"/>
  <c r="L199" i="22"/>
  <c r="AF199" i="22" s="1"/>
  <c r="K199" i="22"/>
  <c r="J199" i="22"/>
  <c r="I199" i="22"/>
  <c r="AO198" i="22"/>
  <c r="AN198" i="22"/>
  <c r="AM198" i="22"/>
  <c r="AL198" i="22"/>
  <c r="AK198" i="22"/>
  <c r="AJ198" i="22"/>
  <c r="AI198" i="22"/>
  <c r="AH198" i="22"/>
  <c r="AB198" i="22"/>
  <c r="AA198" i="22"/>
  <c r="Z198" i="22"/>
  <c r="Y198" i="22"/>
  <c r="X198" i="22"/>
  <c r="W198" i="22"/>
  <c r="L198" i="22"/>
  <c r="AF198" i="22" s="1"/>
  <c r="K198" i="22"/>
  <c r="J198" i="22"/>
  <c r="I198" i="22"/>
  <c r="AO197" i="22"/>
  <c r="AN197" i="22"/>
  <c r="AM197" i="22"/>
  <c r="AL197" i="22"/>
  <c r="AK197" i="22"/>
  <c r="AJ197" i="22"/>
  <c r="AI197" i="22"/>
  <c r="AH197" i="22"/>
  <c r="AB197" i="22"/>
  <c r="AA197" i="22"/>
  <c r="Z197" i="22"/>
  <c r="Y197" i="22"/>
  <c r="X197" i="22"/>
  <c r="W197" i="22"/>
  <c r="L197" i="22"/>
  <c r="AF197" i="22" s="1"/>
  <c r="K197" i="22"/>
  <c r="J197" i="22"/>
  <c r="I197" i="22"/>
  <c r="AO196" i="22"/>
  <c r="AN196" i="22"/>
  <c r="AM196" i="22"/>
  <c r="AL196" i="22"/>
  <c r="AK196" i="22"/>
  <c r="AJ196" i="22"/>
  <c r="AI196" i="22"/>
  <c r="AH196" i="22"/>
  <c r="AB196" i="22"/>
  <c r="AA196" i="22"/>
  <c r="Z196" i="22"/>
  <c r="Y196" i="22"/>
  <c r="X196" i="22"/>
  <c r="W196" i="22"/>
  <c r="L196" i="22"/>
  <c r="AF196" i="22" s="1"/>
  <c r="K196" i="22"/>
  <c r="J196" i="22"/>
  <c r="I196" i="22"/>
  <c r="AO195" i="22"/>
  <c r="AN195" i="22"/>
  <c r="AM195" i="22"/>
  <c r="AL195" i="22"/>
  <c r="AK195" i="22"/>
  <c r="AJ195" i="22"/>
  <c r="AI195" i="22"/>
  <c r="AH195" i="22"/>
  <c r="AB195" i="22"/>
  <c r="AA195" i="22"/>
  <c r="Z195" i="22"/>
  <c r="Y195" i="22"/>
  <c r="X195" i="22"/>
  <c r="W195" i="22"/>
  <c r="L195" i="22"/>
  <c r="AF195" i="22" s="1"/>
  <c r="K195" i="22"/>
  <c r="J195" i="22"/>
  <c r="I195" i="22"/>
  <c r="AO194" i="22"/>
  <c r="AN194" i="22"/>
  <c r="AM194" i="22"/>
  <c r="AL194" i="22"/>
  <c r="AK194" i="22"/>
  <c r="AJ194" i="22"/>
  <c r="AI194" i="22"/>
  <c r="AH194" i="22"/>
  <c r="AB194" i="22"/>
  <c r="AA194" i="22"/>
  <c r="Z194" i="22"/>
  <c r="Y194" i="22"/>
  <c r="X194" i="22"/>
  <c r="W194" i="22"/>
  <c r="L194" i="22"/>
  <c r="AF194" i="22" s="1"/>
  <c r="K194" i="22"/>
  <c r="J194" i="22"/>
  <c r="I194" i="22"/>
  <c r="AO193" i="22"/>
  <c r="AN193" i="22"/>
  <c r="AM193" i="22"/>
  <c r="AL193" i="22"/>
  <c r="AK193" i="22"/>
  <c r="AJ193" i="22"/>
  <c r="AI193" i="22"/>
  <c r="AH193" i="22"/>
  <c r="AB193" i="22"/>
  <c r="AA193" i="22"/>
  <c r="Z193" i="22"/>
  <c r="Y193" i="22"/>
  <c r="X193" i="22"/>
  <c r="W193" i="22"/>
  <c r="L193" i="22"/>
  <c r="AF193" i="22" s="1"/>
  <c r="K193" i="22"/>
  <c r="J193" i="22"/>
  <c r="I193" i="22"/>
  <c r="AO192" i="22"/>
  <c r="AN192" i="22"/>
  <c r="AM192" i="22"/>
  <c r="AL192" i="22"/>
  <c r="AK192" i="22"/>
  <c r="AJ192" i="22"/>
  <c r="AI192" i="22"/>
  <c r="AH192" i="22"/>
  <c r="AB192" i="22"/>
  <c r="AA192" i="22"/>
  <c r="Z192" i="22"/>
  <c r="Y192" i="22"/>
  <c r="X192" i="22"/>
  <c r="W192" i="22"/>
  <c r="L192" i="22"/>
  <c r="AF192" i="22" s="1"/>
  <c r="K192" i="22"/>
  <c r="J192" i="22"/>
  <c r="I192" i="22"/>
  <c r="AO191" i="22"/>
  <c r="AN191" i="22"/>
  <c r="AM191" i="22"/>
  <c r="AL191" i="22"/>
  <c r="AK191" i="22"/>
  <c r="AJ191" i="22"/>
  <c r="AI191" i="22"/>
  <c r="AH191" i="22"/>
  <c r="AB191" i="22"/>
  <c r="AA191" i="22"/>
  <c r="Z191" i="22"/>
  <c r="Y191" i="22"/>
  <c r="X191" i="22"/>
  <c r="W191" i="22"/>
  <c r="L191" i="22"/>
  <c r="AF191" i="22" s="1"/>
  <c r="K191" i="22"/>
  <c r="J191" i="22"/>
  <c r="I191" i="22"/>
  <c r="AO190" i="22"/>
  <c r="AN190" i="22"/>
  <c r="AM190" i="22"/>
  <c r="AL190" i="22"/>
  <c r="AK190" i="22"/>
  <c r="AJ190" i="22"/>
  <c r="AI190" i="22"/>
  <c r="AH190" i="22"/>
  <c r="AB190" i="22"/>
  <c r="AA190" i="22"/>
  <c r="Z190" i="22"/>
  <c r="Y190" i="22"/>
  <c r="X190" i="22"/>
  <c r="W190" i="22"/>
  <c r="L190" i="22"/>
  <c r="AF190" i="22" s="1"/>
  <c r="K190" i="22"/>
  <c r="J190" i="22"/>
  <c r="I190" i="22"/>
  <c r="B190" i="22"/>
  <c r="A190" i="22"/>
  <c r="AO189" i="22"/>
  <c r="AN189" i="22"/>
  <c r="AM189" i="22"/>
  <c r="AL189" i="22"/>
  <c r="AK189" i="22"/>
  <c r="AJ189" i="22"/>
  <c r="AI189" i="22"/>
  <c r="AH189" i="22"/>
  <c r="AB189" i="22"/>
  <c r="AA189" i="22"/>
  <c r="Z189" i="22"/>
  <c r="Y189" i="22"/>
  <c r="X189" i="22"/>
  <c r="W189" i="22"/>
  <c r="L189" i="22"/>
  <c r="AF189" i="22" s="1"/>
  <c r="K189" i="22"/>
  <c r="J189" i="22"/>
  <c r="I189" i="22"/>
  <c r="AO188" i="22"/>
  <c r="AN188" i="22"/>
  <c r="AM188" i="22"/>
  <c r="AL188" i="22"/>
  <c r="AK188" i="22"/>
  <c r="AJ188" i="22"/>
  <c r="AI188" i="22"/>
  <c r="AH188" i="22"/>
  <c r="AB188" i="22"/>
  <c r="AA188" i="22"/>
  <c r="Z188" i="22"/>
  <c r="Y188" i="22"/>
  <c r="X188" i="22"/>
  <c r="W188" i="22"/>
  <c r="L188" i="22"/>
  <c r="AF188" i="22" s="1"/>
  <c r="K188" i="22"/>
  <c r="J188" i="22"/>
  <c r="I188" i="22"/>
  <c r="AO187" i="22"/>
  <c r="AN187" i="22"/>
  <c r="AM187" i="22"/>
  <c r="AL187" i="22"/>
  <c r="AK187" i="22"/>
  <c r="AJ187" i="22"/>
  <c r="AI187" i="22"/>
  <c r="AH187" i="22"/>
  <c r="AB187" i="22"/>
  <c r="AA187" i="22"/>
  <c r="Z187" i="22"/>
  <c r="Y187" i="22"/>
  <c r="X187" i="22"/>
  <c r="W187" i="22"/>
  <c r="L187" i="22"/>
  <c r="AF187" i="22" s="1"/>
  <c r="K187" i="22"/>
  <c r="J187" i="22"/>
  <c r="I187" i="22"/>
  <c r="AO186" i="22"/>
  <c r="AN186" i="22"/>
  <c r="AM186" i="22"/>
  <c r="AL186" i="22"/>
  <c r="AK186" i="22"/>
  <c r="AJ186" i="22"/>
  <c r="AI186" i="22"/>
  <c r="AH186" i="22"/>
  <c r="AB186" i="22"/>
  <c r="AA186" i="22"/>
  <c r="Z186" i="22"/>
  <c r="Y186" i="22"/>
  <c r="X186" i="22"/>
  <c r="W186" i="22"/>
  <c r="L186" i="22"/>
  <c r="AF186" i="22" s="1"/>
  <c r="K186" i="22"/>
  <c r="J186" i="22"/>
  <c r="I186" i="22"/>
  <c r="AO185" i="22"/>
  <c r="AN185" i="22"/>
  <c r="AM185" i="22"/>
  <c r="AL185" i="22"/>
  <c r="AK185" i="22"/>
  <c r="AJ185" i="22"/>
  <c r="AI185" i="22"/>
  <c r="AH185" i="22"/>
  <c r="AB185" i="22"/>
  <c r="AA185" i="22"/>
  <c r="Z185" i="22"/>
  <c r="Y185" i="22"/>
  <c r="X185" i="22"/>
  <c r="W185" i="22"/>
  <c r="L185" i="22"/>
  <c r="AF185" i="22" s="1"/>
  <c r="K185" i="22"/>
  <c r="J185" i="22"/>
  <c r="I185" i="22"/>
  <c r="AO184" i="22"/>
  <c r="AN184" i="22"/>
  <c r="AM184" i="22"/>
  <c r="AL184" i="22"/>
  <c r="AK184" i="22"/>
  <c r="AJ184" i="22"/>
  <c r="AI184" i="22"/>
  <c r="AH184" i="22"/>
  <c r="AB184" i="22"/>
  <c r="AA184" i="22"/>
  <c r="Z184" i="22"/>
  <c r="Y184" i="22"/>
  <c r="X184" i="22"/>
  <c r="W184" i="22"/>
  <c r="L184" i="22"/>
  <c r="AF184" i="22" s="1"/>
  <c r="K184" i="22"/>
  <c r="J184" i="22"/>
  <c r="I184" i="22"/>
  <c r="AO183" i="22"/>
  <c r="AN183" i="22"/>
  <c r="AM183" i="22"/>
  <c r="AL183" i="22"/>
  <c r="AK183" i="22"/>
  <c r="AJ183" i="22"/>
  <c r="AI183" i="22"/>
  <c r="AH183" i="22"/>
  <c r="AB183" i="22"/>
  <c r="AA183" i="22"/>
  <c r="Z183" i="22"/>
  <c r="Y183" i="22"/>
  <c r="X183" i="22"/>
  <c r="W183" i="22"/>
  <c r="L183" i="22"/>
  <c r="AF183" i="22" s="1"/>
  <c r="K183" i="22"/>
  <c r="J183" i="22"/>
  <c r="I183" i="22"/>
  <c r="AO182" i="22"/>
  <c r="AN182" i="22"/>
  <c r="AM182" i="22"/>
  <c r="AL182" i="22"/>
  <c r="AK182" i="22"/>
  <c r="AJ182" i="22"/>
  <c r="AI182" i="22"/>
  <c r="AH182" i="22"/>
  <c r="AB182" i="22"/>
  <c r="AA182" i="22"/>
  <c r="Z182" i="22"/>
  <c r="Y182" i="22"/>
  <c r="X182" i="22"/>
  <c r="W182" i="22"/>
  <c r="L182" i="22"/>
  <c r="AF182" i="22" s="1"/>
  <c r="K182" i="22"/>
  <c r="J182" i="22"/>
  <c r="I182" i="22"/>
  <c r="AO181" i="22"/>
  <c r="AN181" i="22"/>
  <c r="AM181" i="22"/>
  <c r="AL181" i="22"/>
  <c r="AK181" i="22"/>
  <c r="AJ181" i="22"/>
  <c r="AI181" i="22"/>
  <c r="AH181" i="22"/>
  <c r="AB181" i="22"/>
  <c r="AA181" i="22"/>
  <c r="Z181" i="22"/>
  <c r="Y181" i="22"/>
  <c r="X181" i="22"/>
  <c r="W181" i="22"/>
  <c r="L181" i="22"/>
  <c r="AF181" i="22" s="1"/>
  <c r="K181" i="22"/>
  <c r="J181" i="22"/>
  <c r="I181" i="22"/>
  <c r="AO180" i="22"/>
  <c r="AN180" i="22"/>
  <c r="AM180" i="22"/>
  <c r="AL180" i="22"/>
  <c r="AK180" i="22"/>
  <c r="AJ180" i="22"/>
  <c r="AI180" i="22"/>
  <c r="AH180" i="22"/>
  <c r="AB180" i="22"/>
  <c r="AA180" i="22"/>
  <c r="Z180" i="22"/>
  <c r="Y180" i="22"/>
  <c r="X180" i="22"/>
  <c r="W180" i="22"/>
  <c r="L180" i="22"/>
  <c r="AF180" i="22" s="1"/>
  <c r="K180" i="22"/>
  <c r="J180" i="22"/>
  <c r="I180" i="22"/>
  <c r="AO179" i="22"/>
  <c r="AN179" i="22"/>
  <c r="AM179" i="22"/>
  <c r="AL179" i="22"/>
  <c r="AK179" i="22"/>
  <c r="AJ179" i="22"/>
  <c r="AI179" i="22"/>
  <c r="AH179" i="22"/>
  <c r="AB179" i="22"/>
  <c r="AA179" i="22"/>
  <c r="Z179" i="22"/>
  <c r="Y179" i="22"/>
  <c r="X179" i="22"/>
  <c r="W179" i="22"/>
  <c r="L179" i="22"/>
  <c r="AF179" i="22" s="1"/>
  <c r="K179" i="22"/>
  <c r="J179" i="22"/>
  <c r="I179" i="22"/>
  <c r="AO178" i="22"/>
  <c r="AN178" i="22"/>
  <c r="AM178" i="22"/>
  <c r="AL178" i="22"/>
  <c r="AK178" i="22"/>
  <c r="AJ178" i="22"/>
  <c r="AI178" i="22"/>
  <c r="AH178" i="22"/>
  <c r="AB178" i="22"/>
  <c r="AA178" i="22"/>
  <c r="Z178" i="22"/>
  <c r="Y178" i="22"/>
  <c r="X178" i="22"/>
  <c r="W178" i="22"/>
  <c r="L178" i="22"/>
  <c r="AF178" i="22" s="1"/>
  <c r="K178" i="22"/>
  <c r="J178" i="22"/>
  <c r="I178" i="22"/>
  <c r="B178" i="22"/>
  <c r="A178" i="22"/>
  <c r="AO177" i="22"/>
  <c r="AN177" i="22"/>
  <c r="AM177" i="22"/>
  <c r="AL177" i="22"/>
  <c r="AK177" i="22"/>
  <c r="AJ177" i="22"/>
  <c r="AI177" i="22"/>
  <c r="AH177" i="22"/>
  <c r="AB177" i="22"/>
  <c r="AA177" i="22"/>
  <c r="Z177" i="22"/>
  <c r="Y177" i="22"/>
  <c r="X177" i="22"/>
  <c r="W177" i="22"/>
  <c r="L177" i="22"/>
  <c r="AF177" i="22" s="1"/>
  <c r="K177" i="22"/>
  <c r="J177" i="22"/>
  <c r="I177" i="22"/>
  <c r="AO176" i="22"/>
  <c r="AN176" i="22"/>
  <c r="AM176" i="22"/>
  <c r="AL176" i="22"/>
  <c r="AK176" i="22"/>
  <c r="AJ176" i="22"/>
  <c r="AI176" i="22"/>
  <c r="AH176" i="22"/>
  <c r="AB176" i="22"/>
  <c r="AA176" i="22"/>
  <c r="Z176" i="22"/>
  <c r="Y176" i="22"/>
  <c r="X176" i="22"/>
  <c r="W176" i="22"/>
  <c r="L176" i="22"/>
  <c r="AF176" i="22" s="1"/>
  <c r="K176" i="22"/>
  <c r="J176" i="22"/>
  <c r="I176" i="22"/>
  <c r="AO175" i="22"/>
  <c r="AN175" i="22"/>
  <c r="AM175" i="22"/>
  <c r="AL175" i="22"/>
  <c r="AK175" i="22"/>
  <c r="AJ175" i="22"/>
  <c r="AI175" i="22"/>
  <c r="AH175" i="22"/>
  <c r="AB175" i="22"/>
  <c r="AA175" i="22"/>
  <c r="Z175" i="22"/>
  <c r="Y175" i="22"/>
  <c r="X175" i="22"/>
  <c r="W175" i="22"/>
  <c r="L175" i="22"/>
  <c r="AF175" i="22" s="1"/>
  <c r="K175" i="22"/>
  <c r="J175" i="22"/>
  <c r="I175" i="22"/>
  <c r="AO174" i="22"/>
  <c r="AN174" i="22"/>
  <c r="AM174" i="22"/>
  <c r="AL174" i="22"/>
  <c r="AK174" i="22"/>
  <c r="AJ174" i="22"/>
  <c r="AI174" i="22"/>
  <c r="AH174" i="22"/>
  <c r="AB174" i="22"/>
  <c r="AA174" i="22"/>
  <c r="Z174" i="22"/>
  <c r="Y174" i="22"/>
  <c r="X174" i="22"/>
  <c r="W174" i="22"/>
  <c r="L174" i="22"/>
  <c r="AF174" i="22" s="1"/>
  <c r="K174" i="22"/>
  <c r="J174" i="22"/>
  <c r="I174" i="22"/>
  <c r="AO173" i="22"/>
  <c r="AN173" i="22"/>
  <c r="AM173" i="22"/>
  <c r="AL173" i="22"/>
  <c r="AK173" i="22"/>
  <c r="AJ173" i="22"/>
  <c r="AI173" i="22"/>
  <c r="AH173" i="22"/>
  <c r="AB173" i="22"/>
  <c r="AA173" i="22"/>
  <c r="Z173" i="22"/>
  <c r="Y173" i="22"/>
  <c r="X173" i="22"/>
  <c r="W173" i="22"/>
  <c r="L173" i="22"/>
  <c r="AF173" i="22" s="1"/>
  <c r="K173" i="22"/>
  <c r="J173" i="22"/>
  <c r="I173" i="22"/>
  <c r="AO172" i="22"/>
  <c r="AN172" i="22"/>
  <c r="AM172" i="22"/>
  <c r="AL172" i="22"/>
  <c r="AK172" i="22"/>
  <c r="AJ172" i="22"/>
  <c r="AI172" i="22"/>
  <c r="AH172" i="22"/>
  <c r="AB172" i="22"/>
  <c r="AA172" i="22"/>
  <c r="Z172" i="22"/>
  <c r="Y172" i="22"/>
  <c r="X172" i="22"/>
  <c r="W172" i="22"/>
  <c r="L172" i="22"/>
  <c r="AF172" i="22" s="1"/>
  <c r="K172" i="22"/>
  <c r="J172" i="22"/>
  <c r="I172" i="22"/>
  <c r="AO171" i="22"/>
  <c r="AN171" i="22"/>
  <c r="AM171" i="22"/>
  <c r="AL171" i="22"/>
  <c r="AK171" i="22"/>
  <c r="AJ171" i="22"/>
  <c r="AI171" i="22"/>
  <c r="AH171" i="22"/>
  <c r="AB171" i="22"/>
  <c r="AA171" i="22"/>
  <c r="Z171" i="22"/>
  <c r="Y171" i="22"/>
  <c r="X171" i="22"/>
  <c r="W171" i="22"/>
  <c r="L171" i="22"/>
  <c r="AF171" i="22" s="1"/>
  <c r="K171" i="22"/>
  <c r="J171" i="22"/>
  <c r="I171" i="22"/>
  <c r="AO170" i="22"/>
  <c r="AN170" i="22"/>
  <c r="AM170" i="22"/>
  <c r="AL170" i="22"/>
  <c r="AK170" i="22"/>
  <c r="AJ170" i="22"/>
  <c r="AI170" i="22"/>
  <c r="AH170" i="22"/>
  <c r="AB170" i="22"/>
  <c r="AA170" i="22"/>
  <c r="Z170" i="22"/>
  <c r="Y170" i="22"/>
  <c r="X170" i="22"/>
  <c r="W170" i="22"/>
  <c r="L170" i="22"/>
  <c r="AF170" i="22" s="1"/>
  <c r="K170" i="22"/>
  <c r="J170" i="22"/>
  <c r="I170" i="22"/>
  <c r="AO169" i="22"/>
  <c r="AN169" i="22"/>
  <c r="AM169" i="22"/>
  <c r="AL169" i="22"/>
  <c r="AK169" i="22"/>
  <c r="AJ169" i="22"/>
  <c r="AI169" i="22"/>
  <c r="AH169" i="22"/>
  <c r="AB169" i="22"/>
  <c r="AA169" i="22"/>
  <c r="Z169" i="22"/>
  <c r="Y169" i="22"/>
  <c r="X169" i="22"/>
  <c r="W169" i="22"/>
  <c r="L169" i="22"/>
  <c r="AF169" i="22" s="1"/>
  <c r="K169" i="22"/>
  <c r="J169" i="22"/>
  <c r="I169" i="22"/>
  <c r="AO168" i="22"/>
  <c r="AN168" i="22"/>
  <c r="AM168" i="22"/>
  <c r="AL168" i="22"/>
  <c r="AK168" i="22"/>
  <c r="AJ168" i="22"/>
  <c r="AI168" i="22"/>
  <c r="AH168" i="22"/>
  <c r="AB168" i="22"/>
  <c r="AA168" i="22"/>
  <c r="Z168" i="22"/>
  <c r="Y168" i="22"/>
  <c r="X168" i="22"/>
  <c r="W168" i="22"/>
  <c r="L168" i="22"/>
  <c r="AF168" i="22" s="1"/>
  <c r="K168" i="22"/>
  <c r="J168" i="22"/>
  <c r="I168" i="22"/>
  <c r="AO167" i="22"/>
  <c r="AN167" i="22"/>
  <c r="AM167" i="22"/>
  <c r="AL167" i="22"/>
  <c r="AK167" i="22"/>
  <c r="AJ167" i="22"/>
  <c r="AI167" i="22"/>
  <c r="AH167" i="22"/>
  <c r="AB167" i="22"/>
  <c r="AA167" i="22"/>
  <c r="Z167" i="22"/>
  <c r="Y167" i="22"/>
  <c r="X167" i="22"/>
  <c r="W167" i="22"/>
  <c r="L167" i="22"/>
  <c r="AF167" i="22" s="1"/>
  <c r="K167" i="22"/>
  <c r="J167" i="22"/>
  <c r="I167" i="22"/>
  <c r="AO166" i="22"/>
  <c r="AN166" i="22"/>
  <c r="AM166" i="22"/>
  <c r="AL166" i="22"/>
  <c r="AK166" i="22"/>
  <c r="AJ166" i="22"/>
  <c r="AI166" i="22"/>
  <c r="AH166" i="22"/>
  <c r="AB166" i="22"/>
  <c r="AA166" i="22"/>
  <c r="Z166" i="22"/>
  <c r="Y166" i="22"/>
  <c r="X166" i="22"/>
  <c r="W166" i="22"/>
  <c r="L166" i="22"/>
  <c r="AF166" i="22" s="1"/>
  <c r="K166" i="22"/>
  <c r="J166" i="22"/>
  <c r="I166" i="22"/>
  <c r="B166" i="22"/>
  <c r="A166" i="22"/>
  <c r="AO165" i="22"/>
  <c r="AN165" i="22"/>
  <c r="AM165" i="22"/>
  <c r="AL165" i="22"/>
  <c r="AK165" i="22"/>
  <c r="AJ165" i="22"/>
  <c r="AI165" i="22"/>
  <c r="AH165" i="22"/>
  <c r="AB165" i="22"/>
  <c r="AA165" i="22"/>
  <c r="Z165" i="22"/>
  <c r="Y165" i="22"/>
  <c r="X165" i="22"/>
  <c r="W165" i="22"/>
  <c r="AO164" i="22"/>
  <c r="AN164" i="22"/>
  <c r="AM164" i="22"/>
  <c r="AL164" i="22"/>
  <c r="AK164" i="22"/>
  <c r="AJ164" i="22"/>
  <c r="AI164" i="22"/>
  <c r="AH164" i="22"/>
  <c r="AB164" i="22"/>
  <c r="AA164" i="22"/>
  <c r="Z164" i="22"/>
  <c r="Y164" i="22"/>
  <c r="X164" i="22"/>
  <c r="W164" i="22"/>
  <c r="AO163" i="22"/>
  <c r="AN163" i="22"/>
  <c r="AM163" i="22"/>
  <c r="AL163" i="22"/>
  <c r="AK163" i="22"/>
  <c r="AJ163" i="22"/>
  <c r="AI163" i="22"/>
  <c r="AH163" i="22"/>
  <c r="AB163" i="22"/>
  <c r="AA163" i="22"/>
  <c r="Z163" i="22"/>
  <c r="Y163" i="22"/>
  <c r="X163" i="22"/>
  <c r="W163" i="22"/>
  <c r="AO162" i="22"/>
  <c r="AN162" i="22"/>
  <c r="AM162" i="22"/>
  <c r="AL162" i="22"/>
  <c r="AK162" i="22"/>
  <c r="AJ162" i="22"/>
  <c r="AI162" i="22"/>
  <c r="AH162" i="22"/>
  <c r="AB162" i="22"/>
  <c r="AA162" i="22"/>
  <c r="Z162" i="22"/>
  <c r="Y162" i="22"/>
  <c r="X162" i="22"/>
  <c r="W162" i="22"/>
  <c r="AO161" i="22"/>
  <c r="AN161" i="22"/>
  <c r="AM161" i="22"/>
  <c r="AL161" i="22"/>
  <c r="AK161" i="22"/>
  <c r="AJ161" i="22"/>
  <c r="AI161" i="22"/>
  <c r="AH161" i="22"/>
  <c r="AB161" i="22"/>
  <c r="AA161" i="22"/>
  <c r="Z161" i="22"/>
  <c r="Y161" i="22"/>
  <c r="X161" i="22"/>
  <c r="W161" i="22"/>
  <c r="AO160" i="22"/>
  <c r="AN160" i="22"/>
  <c r="AM160" i="22"/>
  <c r="AL160" i="22"/>
  <c r="AK160" i="22"/>
  <c r="AJ160" i="22"/>
  <c r="AI160" i="22"/>
  <c r="AH160" i="22"/>
  <c r="AB160" i="22"/>
  <c r="AA160" i="22"/>
  <c r="Z160" i="22"/>
  <c r="Y160" i="22"/>
  <c r="X160" i="22"/>
  <c r="W160" i="22"/>
  <c r="AO159" i="22"/>
  <c r="AN159" i="22"/>
  <c r="AM159" i="22"/>
  <c r="AL159" i="22"/>
  <c r="AK159" i="22"/>
  <c r="AJ159" i="22"/>
  <c r="AI159" i="22"/>
  <c r="AH159" i="22"/>
  <c r="AB159" i="22"/>
  <c r="AA159" i="22"/>
  <c r="Z159" i="22"/>
  <c r="Y159" i="22"/>
  <c r="X159" i="22"/>
  <c r="W159" i="22"/>
  <c r="AO158" i="22"/>
  <c r="AN158" i="22"/>
  <c r="AM158" i="22"/>
  <c r="AL158" i="22"/>
  <c r="AK158" i="22"/>
  <c r="AJ158" i="22"/>
  <c r="AI158" i="22"/>
  <c r="AH158" i="22"/>
  <c r="AB158" i="22"/>
  <c r="AA158" i="22"/>
  <c r="Z158" i="22"/>
  <c r="Y158" i="22"/>
  <c r="X158" i="22"/>
  <c r="W158" i="22"/>
  <c r="AO157" i="22"/>
  <c r="AN157" i="22"/>
  <c r="AM157" i="22"/>
  <c r="AL157" i="22"/>
  <c r="AK157" i="22"/>
  <c r="AJ157" i="22"/>
  <c r="AI157" i="22"/>
  <c r="AH157" i="22"/>
  <c r="AB157" i="22"/>
  <c r="AA157" i="22"/>
  <c r="Z157" i="22"/>
  <c r="Y157" i="22"/>
  <c r="X157" i="22"/>
  <c r="W157" i="22"/>
  <c r="AO156" i="22"/>
  <c r="AN156" i="22"/>
  <c r="AM156" i="22"/>
  <c r="AL156" i="22"/>
  <c r="AK156" i="22"/>
  <c r="AJ156" i="22"/>
  <c r="AI156" i="22"/>
  <c r="AH156" i="22"/>
  <c r="AB156" i="22"/>
  <c r="AA156" i="22"/>
  <c r="Z156" i="22"/>
  <c r="Y156" i="22"/>
  <c r="X156" i="22"/>
  <c r="W156" i="22"/>
  <c r="AO155" i="22"/>
  <c r="AN155" i="22"/>
  <c r="AM155" i="22"/>
  <c r="AL155" i="22"/>
  <c r="AK155" i="22"/>
  <c r="AJ155" i="22"/>
  <c r="AI155" i="22"/>
  <c r="AH155" i="22"/>
  <c r="AB155" i="22"/>
  <c r="AA155" i="22"/>
  <c r="Z155" i="22"/>
  <c r="Y155" i="22"/>
  <c r="X155" i="22"/>
  <c r="W155" i="22"/>
  <c r="AO154" i="22"/>
  <c r="AN154" i="22"/>
  <c r="AM154" i="22"/>
  <c r="AL154" i="22"/>
  <c r="AK154" i="22"/>
  <c r="AJ154" i="22"/>
  <c r="AI154" i="22"/>
  <c r="AH154" i="22"/>
  <c r="AB154" i="22"/>
  <c r="AA154" i="22"/>
  <c r="Z154" i="22"/>
  <c r="Y154" i="22"/>
  <c r="X154" i="22"/>
  <c r="W154" i="22"/>
  <c r="B154" i="22"/>
  <c r="A154" i="22"/>
  <c r="AO153" i="22"/>
  <c r="AN153" i="22"/>
  <c r="AM153" i="22"/>
  <c r="AL153" i="22"/>
  <c r="AK153" i="22"/>
  <c r="AJ153" i="22"/>
  <c r="AI153" i="22"/>
  <c r="AH153" i="22"/>
  <c r="AB153" i="22"/>
  <c r="AA153" i="22"/>
  <c r="Z153" i="22"/>
  <c r="Y153" i="22"/>
  <c r="X153" i="22"/>
  <c r="W153" i="22"/>
  <c r="L153" i="22"/>
  <c r="AF153" i="22" s="1"/>
  <c r="K153" i="22"/>
  <c r="J153" i="22"/>
  <c r="I153" i="22"/>
  <c r="AO152" i="22"/>
  <c r="AN152" i="22"/>
  <c r="AM152" i="22"/>
  <c r="AL152" i="22"/>
  <c r="AK152" i="22"/>
  <c r="AJ152" i="22"/>
  <c r="AI152" i="22"/>
  <c r="AH152" i="22"/>
  <c r="AB152" i="22"/>
  <c r="AA152" i="22"/>
  <c r="Z152" i="22"/>
  <c r="Y152" i="22"/>
  <c r="X152" i="22"/>
  <c r="W152" i="22"/>
  <c r="L152" i="22"/>
  <c r="AF152" i="22" s="1"/>
  <c r="K152" i="22"/>
  <c r="J152" i="22"/>
  <c r="I152" i="22"/>
  <c r="AO151" i="22"/>
  <c r="AN151" i="22"/>
  <c r="AM151" i="22"/>
  <c r="AL151" i="22"/>
  <c r="AK151" i="22"/>
  <c r="AJ151" i="22"/>
  <c r="AI151" i="22"/>
  <c r="AH151" i="22"/>
  <c r="AB151" i="22"/>
  <c r="AA151" i="22"/>
  <c r="Z151" i="22"/>
  <c r="Y151" i="22"/>
  <c r="X151" i="22"/>
  <c r="W151" i="22"/>
  <c r="L151" i="22"/>
  <c r="AF151" i="22" s="1"/>
  <c r="K151" i="22"/>
  <c r="J151" i="22"/>
  <c r="I151" i="22"/>
  <c r="AO150" i="22"/>
  <c r="AN150" i="22"/>
  <c r="AM150" i="22"/>
  <c r="AL150" i="22"/>
  <c r="AK150" i="22"/>
  <c r="AJ150" i="22"/>
  <c r="AI150" i="22"/>
  <c r="AH150" i="22"/>
  <c r="AB150" i="22"/>
  <c r="AA150" i="22"/>
  <c r="Z150" i="22"/>
  <c r="Y150" i="22"/>
  <c r="X150" i="22"/>
  <c r="W150" i="22"/>
  <c r="L150" i="22"/>
  <c r="AF150" i="22" s="1"/>
  <c r="K150" i="22"/>
  <c r="J150" i="22"/>
  <c r="I150" i="22"/>
  <c r="AO149" i="22"/>
  <c r="AN149" i="22"/>
  <c r="AM149" i="22"/>
  <c r="AL149" i="22"/>
  <c r="AK149" i="22"/>
  <c r="AJ149" i="22"/>
  <c r="AI149" i="22"/>
  <c r="AH149" i="22"/>
  <c r="AB149" i="22"/>
  <c r="AA149" i="22"/>
  <c r="Z149" i="22"/>
  <c r="Y149" i="22"/>
  <c r="X149" i="22"/>
  <c r="W149" i="22"/>
  <c r="L149" i="22"/>
  <c r="AF149" i="22" s="1"/>
  <c r="K149" i="22"/>
  <c r="J149" i="22"/>
  <c r="I149" i="22"/>
  <c r="AO148" i="22"/>
  <c r="AN148" i="22"/>
  <c r="AM148" i="22"/>
  <c r="AL148" i="22"/>
  <c r="AK148" i="22"/>
  <c r="AJ148" i="22"/>
  <c r="AI148" i="22"/>
  <c r="AH148" i="22"/>
  <c r="AB148" i="22"/>
  <c r="AA148" i="22"/>
  <c r="Z148" i="22"/>
  <c r="Y148" i="22"/>
  <c r="X148" i="22"/>
  <c r="W148" i="22"/>
  <c r="L148" i="22"/>
  <c r="AF148" i="22" s="1"/>
  <c r="K148" i="22"/>
  <c r="J148" i="22"/>
  <c r="I148" i="22"/>
  <c r="AO147" i="22"/>
  <c r="AN147" i="22"/>
  <c r="AM147" i="22"/>
  <c r="AL147" i="22"/>
  <c r="AK147" i="22"/>
  <c r="AJ147" i="22"/>
  <c r="AI147" i="22"/>
  <c r="AH147" i="22"/>
  <c r="AB147" i="22"/>
  <c r="AA147" i="22"/>
  <c r="Z147" i="22"/>
  <c r="Y147" i="22"/>
  <c r="X147" i="22"/>
  <c r="W147" i="22"/>
  <c r="L147" i="22"/>
  <c r="AF147" i="22" s="1"/>
  <c r="K147" i="22"/>
  <c r="J147" i="22"/>
  <c r="I147" i="22"/>
  <c r="AO146" i="22"/>
  <c r="AN146" i="22"/>
  <c r="AM146" i="22"/>
  <c r="AL146" i="22"/>
  <c r="AK146" i="22"/>
  <c r="AJ146" i="22"/>
  <c r="AI146" i="22"/>
  <c r="AH146" i="22"/>
  <c r="AB146" i="22"/>
  <c r="AA146" i="22"/>
  <c r="Z146" i="22"/>
  <c r="Y146" i="22"/>
  <c r="X146" i="22"/>
  <c r="W146" i="22"/>
  <c r="L146" i="22"/>
  <c r="AF146" i="22" s="1"/>
  <c r="K146" i="22"/>
  <c r="J146" i="22"/>
  <c r="I146" i="22"/>
  <c r="AO145" i="22"/>
  <c r="AN145" i="22"/>
  <c r="AM145" i="22"/>
  <c r="AL145" i="22"/>
  <c r="AK145" i="22"/>
  <c r="AJ145" i="22"/>
  <c r="AI145" i="22"/>
  <c r="AH145" i="22"/>
  <c r="AB145" i="22"/>
  <c r="AA145" i="22"/>
  <c r="Z145" i="22"/>
  <c r="Y145" i="22"/>
  <c r="X145" i="22"/>
  <c r="W145" i="22"/>
  <c r="L145" i="22"/>
  <c r="AF145" i="22" s="1"/>
  <c r="K145" i="22"/>
  <c r="J145" i="22"/>
  <c r="I145" i="22"/>
  <c r="AO144" i="22"/>
  <c r="AN144" i="22"/>
  <c r="AM144" i="22"/>
  <c r="AL144" i="22"/>
  <c r="AK144" i="22"/>
  <c r="AJ144" i="22"/>
  <c r="AI144" i="22"/>
  <c r="AH144" i="22"/>
  <c r="AB144" i="22"/>
  <c r="AA144" i="22"/>
  <c r="Z144" i="22"/>
  <c r="Y144" i="22"/>
  <c r="X144" i="22"/>
  <c r="W144" i="22"/>
  <c r="L144" i="22"/>
  <c r="AF144" i="22" s="1"/>
  <c r="K144" i="22"/>
  <c r="J144" i="22"/>
  <c r="I144" i="22"/>
  <c r="AO143" i="22"/>
  <c r="AN143" i="22"/>
  <c r="AM143" i="22"/>
  <c r="AL143" i="22"/>
  <c r="AK143" i="22"/>
  <c r="AJ143" i="22"/>
  <c r="AI143" i="22"/>
  <c r="AH143" i="22"/>
  <c r="AB143" i="22"/>
  <c r="AA143" i="22"/>
  <c r="Z143" i="22"/>
  <c r="Y143" i="22"/>
  <c r="X143" i="22"/>
  <c r="W143" i="22"/>
  <c r="L143" i="22"/>
  <c r="AF143" i="22" s="1"/>
  <c r="K143" i="22"/>
  <c r="J143" i="22"/>
  <c r="I143" i="22"/>
  <c r="AO142" i="22"/>
  <c r="AN142" i="22"/>
  <c r="AM142" i="22"/>
  <c r="AL142" i="22"/>
  <c r="AK142" i="22"/>
  <c r="AJ142" i="22"/>
  <c r="AI142" i="22"/>
  <c r="AH142" i="22"/>
  <c r="AB142" i="22"/>
  <c r="AA142" i="22"/>
  <c r="Z142" i="22"/>
  <c r="Y142" i="22"/>
  <c r="X142" i="22"/>
  <c r="W142" i="22"/>
  <c r="L142" i="22"/>
  <c r="AF142" i="22" s="1"/>
  <c r="K142" i="22"/>
  <c r="J142" i="22"/>
  <c r="I142" i="22"/>
  <c r="B142" i="22"/>
  <c r="A142" i="22"/>
  <c r="AO141" i="22"/>
  <c r="AN141" i="22"/>
  <c r="AM141" i="22"/>
  <c r="AL141" i="22"/>
  <c r="AK141" i="22"/>
  <c r="AJ141" i="22"/>
  <c r="AI141" i="22"/>
  <c r="AH141" i="22"/>
  <c r="AB141" i="22"/>
  <c r="AA141" i="22"/>
  <c r="Z141" i="22"/>
  <c r="Y141" i="22"/>
  <c r="X141" i="22"/>
  <c r="W141" i="22"/>
  <c r="AO140" i="22"/>
  <c r="AN140" i="22"/>
  <c r="AM140" i="22"/>
  <c r="AL140" i="22"/>
  <c r="AK140" i="22"/>
  <c r="AJ140" i="22"/>
  <c r="AI140" i="22"/>
  <c r="AH140" i="22"/>
  <c r="AB140" i="22"/>
  <c r="AA140" i="22"/>
  <c r="Z140" i="22"/>
  <c r="Y140" i="22"/>
  <c r="X140" i="22"/>
  <c r="W140" i="22"/>
  <c r="AO139" i="22"/>
  <c r="AN139" i="22"/>
  <c r="AM139" i="22"/>
  <c r="AL139" i="22"/>
  <c r="AK139" i="22"/>
  <c r="AJ139" i="22"/>
  <c r="AI139" i="22"/>
  <c r="AH139" i="22"/>
  <c r="AB139" i="22"/>
  <c r="AA139" i="22"/>
  <c r="Z139" i="22"/>
  <c r="Y139" i="22"/>
  <c r="X139" i="22"/>
  <c r="W139" i="22"/>
  <c r="AO138" i="22"/>
  <c r="AN138" i="22"/>
  <c r="AM138" i="22"/>
  <c r="AL138" i="22"/>
  <c r="AK138" i="22"/>
  <c r="AJ138" i="22"/>
  <c r="AI138" i="22"/>
  <c r="AH138" i="22"/>
  <c r="AB138" i="22"/>
  <c r="AA138" i="22"/>
  <c r="Z138" i="22"/>
  <c r="Y138" i="22"/>
  <c r="X138" i="22"/>
  <c r="W138" i="22"/>
  <c r="AO137" i="22"/>
  <c r="AN137" i="22"/>
  <c r="AM137" i="22"/>
  <c r="AL137" i="22"/>
  <c r="AK137" i="22"/>
  <c r="AJ137" i="22"/>
  <c r="AI137" i="22"/>
  <c r="AH137" i="22"/>
  <c r="AB137" i="22"/>
  <c r="AA137" i="22"/>
  <c r="Z137" i="22"/>
  <c r="Y137" i="22"/>
  <c r="X137" i="22"/>
  <c r="W137" i="22"/>
  <c r="AO136" i="22"/>
  <c r="AN136" i="22"/>
  <c r="AM136" i="22"/>
  <c r="AL136" i="22"/>
  <c r="AK136" i="22"/>
  <c r="AJ136" i="22"/>
  <c r="AI136" i="22"/>
  <c r="AH136" i="22"/>
  <c r="AB136" i="22"/>
  <c r="AA136" i="22"/>
  <c r="Z136" i="22"/>
  <c r="Y136" i="22"/>
  <c r="X136" i="22"/>
  <c r="W136" i="22"/>
  <c r="AO135" i="22"/>
  <c r="AN135" i="22"/>
  <c r="AM135" i="22"/>
  <c r="AL135" i="22"/>
  <c r="AK135" i="22"/>
  <c r="AJ135" i="22"/>
  <c r="AI135" i="22"/>
  <c r="AH135" i="22"/>
  <c r="AB135" i="22"/>
  <c r="AA135" i="22"/>
  <c r="Z135" i="22"/>
  <c r="Y135" i="22"/>
  <c r="X135" i="22"/>
  <c r="W135" i="22"/>
  <c r="AO134" i="22"/>
  <c r="AN134" i="22"/>
  <c r="AM134" i="22"/>
  <c r="AL134" i="22"/>
  <c r="AK134" i="22"/>
  <c r="AJ134" i="22"/>
  <c r="AI134" i="22"/>
  <c r="AH134" i="22"/>
  <c r="AB134" i="22"/>
  <c r="AA134" i="22"/>
  <c r="Z134" i="22"/>
  <c r="Y134" i="22"/>
  <c r="X134" i="22"/>
  <c r="W134" i="22"/>
  <c r="AO133" i="22"/>
  <c r="AN133" i="22"/>
  <c r="AM133" i="22"/>
  <c r="AL133" i="22"/>
  <c r="AK133" i="22"/>
  <c r="AJ133" i="22"/>
  <c r="AI133" i="22"/>
  <c r="AH133" i="22"/>
  <c r="AB133" i="22"/>
  <c r="AA133" i="22"/>
  <c r="Z133" i="22"/>
  <c r="Y133" i="22"/>
  <c r="X133" i="22"/>
  <c r="W133" i="22"/>
  <c r="AO132" i="22"/>
  <c r="AN132" i="22"/>
  <c r="AM132" i="22"/>
  <c r="AL132" i="22"/>
  <c r="AK132" i="22"/>
  <c r="AJ132" i="22"/>
  <c r="AI132" i="22"/>
  <c r="AH132" i="22"/>
  <c r="AB132" i="22"/>
  <c r="AA132" i="22"/>
  <c r="Z132" i="22"/>
  <c r="Y132" i="22"/>
  <c r="X132" i="22"/>
  <c r="W132" i="22"/>
  <c r="AO131" i="22"/>
  <c r="AN131" i="22"/>
  <c r="AM131" i="22"/>
  <c r="AL131" i="22"/>
  <c r="AK131" i="22"/>
  <c r="AJ131" i="22"/>
  <c r="AI131" i="22"/>
  <c r="AH131" i="22"/>
  <c r="AB131" i="22"/>
  <c r="AA131" i="22"/>
  <c r="Z131" i="22"/>
  <c r="Y131" i="22"/>
  <c r="X131" i="22"/>
  <c r="W131" i="22"/>
  <c r="AO130" i="22"/>
  <c r="AN130" i="22"/>
  <c r="AM130" i="22"/>
  <c r="AL130" i="22"/>
  <c r="AK130" i="22"/>
  <c r="AJ130" i="22"/>
  <c r="AI130" i="22"/>
  <c r="AH130" i="22"/>
  <c r="AB130" i="22"/>
  <c r="AA130" i="22"/>
  <c r="Z130" i="22"/>
  <c r="Y130" i="22"/>
  <c r="X130" i="22"/>
  <c r="W130" i="22"/>
  <c r="B130" i="22"/>
  <c r="A130" i="22"/>
  <c r="AO117" i="22"/>
  <c r="AN117" i="22"/>
  <c r="AM117" i="22"/>
  <c r="AL117" i="22"/>
  <c r="AK117" i="22"/>
  <c r="AJ117" i="22"/>
  <c r="AI117" i="22"/>
  <c r="AH117" i="22"/>
  <c r="AB117" i="22"/>
  <c r="AA117" i="22"/>
  <c r="Z117" i="22"/>
  <c r="Y117" i="22"/>
  <c r="X117" i="22"/>
  <c r="W117" i="22"/>
  <c r="AO116" i="22"/>
  <c r="AN116" i="22"/>
  <c r="AM116" i="22"/>
  <c r="AL116" i="22"/>
  <c r="AK116" i="22"/>
  <c r="AJ116" i="22"/>
  <c r="AI116" i="22"/>
  <c r="AH116" i="22"/>
  <c r="AB116" i="22"/>
  <c r="AA116" i="22"/>
  <c r="Z116" i="22"/>
  <c r="Y116" i="22"/>
  <c r="X116" i="22"/>
  <c r="W116" i="22"/>
  <c r="AO115" i="22"/>
  <c r="AN115" i="22"/>
  <c r="AM115" i="22"/>
  <c r="AL115" i="22"/>
  <c r="AK115" i="22"/>
  <c r="AJ115" i="22"/>
  <c r="AI115" i="22"/>
  <c r="AH115" i="22"/>
  <c r="AB115" i="22"/>
  <c r="AA115" i="22"/>
  <c r="Z115" i="22"/>
  <c r="Y115" i="22"/>
  <c r="X115" i="22"/>
  <c r="W115" i="22"/>
  <c r="AO114" i="22"/>
  <c r="AN114" i="22"/>
  <c r="AM114" i="22"/>
  <c r="AL114" i="22"/>
  <c r="AK114" i="22"/>
  <c r="AJ114" i="22"/>
  <c r="AI114" i="22"/>
  <c r="AH114" i="22"/>
  <c r="AB114" i="22"/>
  <c r="AA114" i="22"/>
  <c r="Z114" i="22"/>
  <c r="Y114" i="22"/>
  <c r="X114" i="22"/>
  <c r="W114" i="22"/>
  <c r="AO113" i="22"/>
  <c r="AN113" i="22"/>
  <c r="AM113" i="22"/>
  <c r="AL113" i="22"/>
  <c r="AK113" i="22"/>
  <c r="AJ113" i="22"/>
  <c r="AI113" i="22"/>
  <c r="AH113" i="22"/>
  <c r="AB113" i="22"/>
  <c r="AA113" i="22"/>
  <c r="Z113" i="22"/>
  <c r="Y113" i="22"/>
  <c r="X113" i="22"/>
  <c r="W113" i="22"/>
  <c r="AO112" i="22"/>
  <c r="AN112" i="22"/>
  <c r="AM112" i="22"/>
  <c r="AL112" i="22"/>
  <c r="AK112" i="22"/>
  <c r="AJ112" i="22"/>
  <c r="AI112" i="22"/>
  <c r="AH112" i="22"/>
  <c r="AB112" i="22"/>
  <c r="AA112" i="22"/>
  <c r="Z112" i="22"/>
  <c r="Y112" i="22"/>
  <c r="X112" i="22"/>
  <c r="W112" i="22"/>
  <c r="AO111" i="22"/>
  <c r="AN111" i="22"/>
  <c r="AM111" i="22"/>
  <c r="AL111" i="22"/>
  <c r="AK111" i="22"/>
  <c r="AJ111" i="22"/>
  <c r="AI111" i="22"/>
  <c r="AH111" i="22"/>
  <c r="AB111" i="22"/>
  <c r="AA111" i="22"/>
  <c r="Z111" i="22"/>
  <c r="Y111" i="22"/>
  <c r="X111" i="22"/>
  <c r="W111" i="22"/>
  <c r="AO110" i="22"/>
  <c r="AN110" i="22"/>
  <c r="AM110" i="22"/>
  <c r="AL110" i="22"/>
  <c r="AK110" i="22"/>
  <c r="AJ110" i="22"/>
  <c r="AI110" i="22"/>
  <c r="AH110" i="22"/>
  <c r="AB110" i="22"/>
  <c r="AA110" i="22"/>
  <c r="Z110" i="22"/>
  <c r="Y110" i="22"/>
  <c r="X110" i="22"/>
  <c r="W110" i="22"/>
  <c r="AO109" i="22"/>
  <c r="AN109" i="22"/>
  <c r="AM109" i="22"/>
  <c r="AL109" i="22"/>
  <c r="AK109" i="22"/>
  <c r="AJ109" i="22"/>
  <c r="AI109" i="22"/>
  <c r="AH109" i="22"/>
  <c r="AB109" i="22"/>
  <c r="AA109" i="22"/>
  <c r="Z109" i="22"/>
  <c r="Y109" i="22"/>
  <c r="X109" i="22"/>
  <c r="W109" i="22"/>
  <c r="AO108" i="22"/>
  <c r="AN108" i="22"/>
  <c r="AM108" i="22"/>
  <c r="AL108" i="22"/>
  <c r="AK108" i="22"/>
  <c r="AJ108" i="22"/>
  <c r="AI108" i="22"/>
  <c r="AH108" i="22"/>
  <c r="AB108" i="22"/>
  <c r="AA108" i="22"/>
  <c r="Z108" i="22"/>
  <c r="Y108" i="22"/>
  <c r="X108" i="22"/>
  <c r="W108" i="22"/>
  <c r="AO107" i="22"/>
  <c r="AN107" i="22"/>
  <c r="AM107" i="22"/>
  <c r="AL107" i="22"/>
  <c r="AK107" i="22"/>
  <c r="AJ107" i="22"/>
  <c r="AI107" i="22"/>
  <c r="AH107" i="22"/>
  <c r="AB107" i="22"/>
  <c r="AA107" i="22"/>
  <c r="Z107" i="22"/>
  <c r="Y107" i="22"/>
  <c r="X107" i="22"/>
  <c r="W107" i="22"/>
  <c r="AO106" i="22"/>
  <c r="AN106" i="22"/>
  <c r="AM106" i="22"/>
  <c r="AL106" i="22"/>
  <c r="AK106" i="22"/>
  <c r="AJ106" i="22"/>
  <c r="AI106" i="22"/>
  <c r="AH106" i="22"/>
  <c r="AB106" i="22"/>
  <c r="AA106" i="22"/>
  <c r="Z106" i="22"/>
  <c r="Y106" i="22"/>
  <c r="X106" i="22"/>
  <c r="W106" i="22"/>
  <c r="B106" i="22"/>
  <c r="A106" i="22"/>
  <c r="AO129" i="22"/>
  <c r="AB129" i="22"/>
  <c r="AA129" i="22"/>
  <c r="Z129" i="22"/>
  <c r="Y129" i="22"/>
  <c r="X129" i="22"/>
  <c r="W129" i="22"/>
  <c r="AN129" i="22"/>
  <c r="AM129" i="22"/>
  <c r="AL129" i="22"/>
  <c r="AK129" i="22"/>
  <c r="AJ129" i="22"/>
  <c r="AI129" i="22"/>
  <c r="AH129" i="22"/>
  <c r="AO128" i="22"/>
  <c r="AB128" i="22"/>
  <c r="AA128" i="22"/>
  <c r="Z128" i="22"/>
  <c r="Y128" i="22"/>
  <c r="X128" i="22"/>
  <c r="W128" i="22"/>
  <c r="AN128" i="22"/>
  <c r="AM128" i="22"/>
  <c r="AL128" i="22"/>
  <c r="AK128" i="22"/>
  <c r="AJ128" i="22"/>
  <c r="AI128" i="22"/>
  <c r="AH128" i="22"/>
  <c r="AO127" i="22"/>
  <c r="AB127" i="22"/>
  <c r="AA127" i="22"/>
  <c r="Z127" i="22"/>
  <c r="Y127" i="22"/>
  <c r="X127" i="22"/>
  <c r="W127" i="22"/>
  <c r="AN127" i="22"/>
  <c r="AM127" i="22"/>
  <c r="AL127" i="22"/>
  <c r="AK127" i="22"/>
  <c r="AJ127" i="22"/>
  <c r="AI127" i="22"/>
  <c r="AH127" i="22"/>
  <c r="AO126" i="22"/>
  <c r="AB126" i="22"/>
  <c r="AA126" i="22"/>
  <c r="Z126" i="22"/>
  <c r="Y126" i="22"/>
  <c r="X126" i="22"/>
  <c r="W126" i="22"/>
  <c r="AN126" i="22"/>
  <c r="AM126" i="22"/>
  <c r="AL126" i="22"/>
  <c r="AK126" i="22"/>
  <c r="AJ126" i="22"/>
  <c r="AI126" i="22"/>
  <c r="AH126" i="22"/>
  <c r="AO125" i="22"/>
  <c r="AB125" i="22"/>
  <c r="AA125" i="22"/>
  <c r="Z125" i="22"/>
  <c r="Y125" i="22"/>
  <c r="X125" i="22"/>
  <c r="W125" i="22"/>
  <c r="AN125" i="22"/>
  <c r="AM125" i="22"/>
  <c r="AL125" i="22"/>
  <c r="AK125" i="22"/>
  <c r="AJ125" i="22"/>
  <c r="AI125" i="22"/>
  <c r="AH125" i="22"/>
  <c r="AO124" i="22"/>
  <c r="AB124" i="22"/>
  <c r="AA124" i="22"/>
  <c r="Z124" i="22"/>
  <c r="Y124" i="22"/>
  <c r="X124" i="22"/>
  <c r="W124" i="22"/>
  <c r="AN124" i="22"/>
  <c r="AM124" i="22"/>
  <c r="AL124" i="22"/>
  <c r="AK124" i="22"/>
  <c r="AJ124" i="22"/>
  <c r="AI124" i="22"/>
  <c r="AH124" i="22"/>
  <c r="AO123" i="22"/>
  <c r="AB123" i="22"/>
  <c r="AA123" i="22"/>
  <c r="Z123" i="22"/>
  <c r="Y123" i="22"/>
  <c r="X123" i="22"/>
  <c r="W123" i="22"/>
  <c r="AN123" i="22"/>
  <c r="AM123" i="22"/>
  <c r="AL123" i="22"/>
  <c r="AK123" i="22"/>
  <c r="AJ123" i="22"/>
  <c r="AI123" i="22"/>
  <c r="AH123" i="22"/>
  <c r="AO122" i="22"/>
  <c r="AB122" i="22"/>
  <c r="AA122" i="22"/>
  <c r="Z122" i="22"/>
  <c r="Y122" i="22"/>
  <c r="X122" i="22"/>
  <c r="W122" i="22"/>
  <c r="AN122" i="22"/>
  <c r="AM122" i="22"/>
  <c r="AL122" i="22"/>
  <c r="AK122" i="22"/>
  <c r="AJ122" i="22"/>
  <c r="AI122" i="22"/>
  <c r="AH122" i="22"/>
  <c r="AO121" i="22"/>
  <c r="AB121" i="22"/>
  <c r="AA121" i="22"/>
  <c r="Z121" i="22"/>
  <c r="Y121" i="22"/>
  <c r="X121" i="22"/>
  <c r="W121" i="22"/>
  <c r="AN121" i="22"/>
  <c r="AM121" i="22"/>
  <c r="AL121" i="22"/>
  <c r="AK121" i="22"/>
  <c r="AJ121" i="22"/>
  <c r="AI121" i="22"/>
  <c r="AH121" i="22"/>
  <c r="AO120" i="22"/>
  <c r="AB120" i="22"/>
  <c r="AA120" i="22"/>
  <c r="Z120" i="22"/>
  <c r="Y120" i="22"/>
  <c r="X120" i="22"/>
  <c r="W120" i="22"/>
  <c r="AN120" i="22"/>
  <c r="AM120" i="22"/>
  <c r="AL120" i="22"/>
  <c r="AK120" i="22"/>
  <c r="AJ120" i="22"/>
  <c r="AI120" i="22"/>
  <c r="AH120" i="22"/>
  <c r="AO119" i="22"/>
  <c r="AB119" i="22"/>
  <c r="AA119" i="22"/>
  <c r="Z119" i="22"/>
  <c r="Y119" i="22"/>
  <c r="X119" i="22"/>
  <c r="W119" i="22"/>
  <c r="AN119" i="22"/>
  <c r="AM119" i="22"/>
  <c r="AL119" i="22"/>
  <c r="AK119" i="22"/>
  <c r="AJ119" i="22"/>
  <c r="AI119" i="22"/>
  <c r="AH119" i="22"/>
  <c r="AO118" i="22"/>
  <c r="AB118" i="22"/>
  <c r="AA118" i="22"/>
  <c r="Z118" i="22"/>
  <c r="Y118" i="22"/>
  <c r="X118" i="22"/>
  <c r="W118" i="22"/>
  <c r="AN118" i="22"/>
  <c r="AM118" i="22"/>
  <c r="AL118" i="22"/>
  <c r="AK118" i="22"/>
  <c r="AJ118" i="22"/>
  <c r="AI118" i="22"/>
  <c r="AH118" i="22"/>
  <c r="B118" i="22"/>
  <c r="A118" i="22"/>
  <c r="AO105" i="22"/>
  <c r="AN105" i="22"/>
  <c r="AM105" i="22"/>
  <c r="AL105" i="22"/>
  <c r="AK105" i="22"/>
  <c r="AJ105" i="22"/>
  <c r="AI105" i="22"/>
  <c r="AH105" i="22"/>
  <c r="AB105" i="22"/>
  <c r="AA105" i="22"/>
  <c r="Z105" i="22"/>
  <c r="Y105" i="22"/>
  <c r="X105" i="22"/>
  <c r="W105" i="22"/>
  <c r="AO104" i="22"/>
  <c r="AN104" i="22"/>
  <c r="AM104" i="22"/>
  <c r="AL104" i="22"/>
  <c r="AK104" i="22"/>
  <c r="AJ104" i="22"/>
  <c r="AI104" i="22"/>
  <c r="AH104" i="22"/>
  <c r="AB104" i="22"/>
  <c r="AA104" i="22"/>
  <c r="Z104" i="22"/>
  <c r="Y104" i="22"/>
  <c r="X104" i="22"/>
  <c r="W104" i="22"/>
  <c r="AO103" i="22"/>
  <c r="AN103" i="22"/>
  <c r="AM103" i="22"/>
  <c r="AL103" i="22"/>
  <c r="AK103" i="22"/>
  <c r="AJ103" i="22"/>
  <c r="AI103" i="22"/>
  <c r="AH103" i="22"/>
  <c r="AB103" i="22"/>
  <c r="AA103" i="22"/>
  <c r="Z103" i="22"/>
  <c r="Y103" i="22"/>
  <c r="X103" i="22"/>
  <c r="W103" i="22"/>
  <c r="AO102" i="22"/>
  <c r="AN102" i="22"/>
  <c r="AM102" i="22"/>
  <c r="AL102" i="22"/>
  <c r="AK102" i="22"/>
  <c r="AJ102" i="22"/>
  <c r="AI102" i="22"/>
  <c r="AH102" i="22"/>
  <c r="AB102" i="22"/>
  <c r="AA102" i="22"/>
  <c r="Z102" i="22"/>
  <c r="Y102" i="22"/>
  <c r="X102" i="22"/>
  <c r="W102" i="22"/>
  <c r="AO101" i="22"/>
  <c r="AN101" i="22"/>
  <c r="AM101" i="22"/>
  <c r="AL101" i="22"/>
  <c r="AK101" i="22"/>
  <c r="AJ101" i="22"/>
  <c r="AI101" i="22"/>
  <c r="AH101" i="22"/>
  <c r="AB101" i="22"/>
  <c r="AA101" i="22"/>
  <c r="Z101" i="22"/>
  <c r="Y101" i="22"/>
  <c r="X101" i="22"/>
  <c r="W101" i="22"/>
  <c r="AO100" i="22"/>
  <c r="AN100" i="22"/>
  <c r="AM100" i="22"/>
  <c r="AL100" i="22"/>
  <c r="AK100" i="22"/>
  <c r="AJ100" i="22"/>
  <c r="AI100" i="22"/>
  <c r="AH100" i="22"/>
  <c r="AB100" i="22"/>
  <c r="AA100" i="22"/>
  <c r="Z100" i="22"/>
  <c r="Y100" i="22"/>
  <c r="X100" i="22"/>
  <c r="W100" i="22"/>
  <c r="AO99" i="22"/>
  <c r="AN99" i="22"/>
  <c r="AM99" i="22"/>
  <c r="AL99" i="22"/>
  <c r="AK99" i="22"/>
  <c r="AJ99" i="22"/>
  <c r="AI99" i="22"/>
  <c r="AH99" i="22"/>
  <c r="AB99" i="22"/>
  <c r="AA99" i="22"/>
  <c r="Z99" i="22"/>
  <c r="Y99" i="22"/>
  <c r="X99" i="22"/>
  <c r="W99" i="22"/>
  <c r="AO98" i="22"/>
  <c r="AN98" i="22"/>
  <c r="AM98" i="22"/>
  <c r="AL98" i="22"/>
  <c r="AK98" i="22"/>
  <c r="AJ98" i="22"/>
  <c r="AI98" i="22"/>
  <c r="AH98" i="22"/>
  <c r="AB98" i="22"/>
  <c r="AA98" i="22"/>
  <c r="Z98" i="22"/>
  <c r="Y98" i="22"/>
  <c r="X98" i="22"/>
  <c r="W98" i="22"/>
  <c r="AO97" i="22"/>
  <c r="AN97" i="22"/>
  <c r="AM97" i="22"/>
  <c r="AL97" i="22"/>
  <c r="AK97" i="22"/>
  <c r="AJ97" i="22"/>
  <c r="AI97" i="22"/>
  <c r="AH97" i="22"/>
  <c r="AB97" i="22"/>
  <c r="AA97" i="22"/>
  <c r="Z97" i="22"/>
  <c r="Y97" i="22"/>
  <c r="X97" i="22"/>
  <c r="W97" i="22"/>
  <c r="AO96" i="22"/>
  <c r="AN96" i="22"/>
  <c r="AM96" i="22"/>
  <c r="AL96" i="22"/>
  <c r="AK96" i="22"/>
  <c r="AJ96" i="22"/>
  <c r="AI96" i="22"/>
  <c r="AH96" i="22"/>
  <c r="AB96" i="22"/>
  <c r="AA96" i="22"/>
  <c r="Z96" i="22"/>
  <c r="Y96" i="22"/>
  <c r="X96" i="22"/>
  <c r="W96" i="22"/>
  <c r="AO95" i="22"/>
  <c r="AN95" i="22"/>
  <c r="AM95" i="22"/>
  <c r="AL95" i="22"/>
  <c r="AK95" i="22"/>
  <c r="AJ95" i="22"/>
  <c r="AI95" i="22"/>
  <c r="AH95" i="22"/>
  <c r="AB95" i="22"/>
  <c r="AA95" i="22"/>
  <c r="Z95" i="22"/>
  <c r="Y95" i="22"/>
  <c r="X95" i="22"/>
  <c r="W95" i="22"/>
  <c r="AO94" i="22"/>
  <c r="AN94" i="22"/>
  <c r="AM94" i="22"/>
  <c r="AL94" i="22"/>
  <c r="AK94" i="22"/>
  <c r="AJ94" i="22"/>
  <c r="AI94" i="22"/>
  <c r="AH94" i="22"/>
  <c r="AB94" i="22"/>
  <c r="AA94" i="22"/>
  <c r="Z94" i="22"/>
  <c r="Y94" i="22"/>
  <c r="X94" i="22"/>
  <c r="W94" i="22"/>
  <c r="B94" i="22"/>
  <c r="A94" i="22"/>
  <c r="AO93" i="22"/>
  <c r="AN93" i="22"/>
  <c r="AM93" i="22"/>
  <c r="AL93" i="22"/>
  <c r="AK93" i="22"/>
  <c r="AJ93" i="22"/>
  <c r="AI93" i="22"/>
  <c r="AH93" i="22"/>
  <c r="AB93" i="22"/>
  <c r="AA93" i="22"/>
  <c r="Z93" i="22"/>
  <c r="Y93" i="22"/>
  <c r="X93" i="22"/>
  <c r="W93" i="22"/>
  <c r="AO92" i="22"/>
  <c r="AN92" i="22"/>
  <c r="AM92" i="22"/>
  <c r="AL92" i="22"/>
  <c r="AK92" i="22"/>
  <c r="AJ92" i="22"/>
  <c r="AI92" i="22"/>
  <c r="AH92" i="22"/>
  <c r="AB92" i="22"/>
  <c r="AA92" i="22"/>
  <c r="Z92" i="22"/>
  <c r="Y92" i="22"/>
  <c r="X92" i="22"/>
  <c r="W92" i="22"/>
  <c r="AO91" i="22"/>
  <c r="AN91" i="22"/>
  <c r="AM91" i="22"/>
  <c r="AL91" i="22"/>
  <c r="AK91" i="22"/>
  <c r="AJ91" i="22"/>
  <c r="AI91" i="22"/>
  <c r="AH91" i="22"/>
  <c r="AB91" i="22"/>
  <c r="AA91" i="22"/>
  <c r="Z91" i="22"/>
  <c r="Y91" i="22"/>
  <c r="X91" i="22"/>
  <c r="W91" i="22"/>
  <c r="AO90" i="22"/>
  <c r="AN90" i="22"/>
  <c r="AM90" i="22"/>
  <c r="AL90" i="22"/>
  <c r="AK90" i="22"/>
  <c r="AJ90" i="22"/>
  <c r="AI90" i="22"/>
  <c r="AH90" i="22"/>
  <c r="AB90" i="22"/>
  <c r="AA90" i="22"/>
  <c r="Z90" i="22"/>
  <c r="Y90" i="22"/>
  <c r="X90" i="22"/>
  <c r="W90" i="22"/>
  <c r="AO89" i="22"/>
  <c r="AN89" i="22"/>
  <c r="AM89" i="22"/>
  <c r="AL89" i="22"/>
  <c r="AK89" i="22"/>
  <c r="AJ89" i="22"/>
  <c r="AI89" i="22"/>
  <c r="AH89" i="22"/>
  <c r="AB89" i="22"/>
  <c r="AA89" i="22"/>
  <c r="Z89" i="22"/>
  <c r="Y89" i="22"/>
  <c r="X89" i="22"/>
  <c r="W89" i="22"/>
  <c r="AO88" i="22"/>
  <c r="AN88" i="22"/>
  <c r="AM88" i="22"/>
  <c r="AL88" i="22"/>
  <c r="AK88" i="22"/>
  <c r="AJ88" i="22"/>
  <c r="AI88" i="22"/>
  <c r="AH88" i="22"/>
  <c r="AB88" i="22"/>
  <c r="AA88" i="22"/>
  <c r="Z88" i="22"/>
  <c r="Y88" i="22"/>
  <c r="X88" i="22"/>
  <c r="W88" i="22"/>
  <c r="AO87" i="22"/>
  <c r="AN87" i="22"/>
  <c r="AM87" i="22"/>
  <c r="AL87" i="22"/>
  <c r="AK87" i="22"/>
  <c r="AJ87" i="22"/>
  <c r="AI87" i="22"/>
  <c r="AH87" i="22"/>
  <c r="AB87" i="22"/>
  <c r="AA87" i="22"/>
  <c r="Z87" i="22"/>
  <c r="Y87" i="22"/>
  <c r="X87" i="22"/>
  <c r="W87" i="22"/>
  <c r="AO86" i="22"/>
  <c r="AN86" i="22"/>
  <c r="AM86" i="22"/>
  <c r="AL86" i="22"/>
  <c r="AK86" i="22"/>
  <c r="AJ86" i="22"/>
  <c r="AI86" i="22"/>
  <c r="AH86" i="22"/>
  <c r="AB86" i="22"/>
  <c r="AA86" i="22"/>
  <c r="Z86" i="22"/>
  <c r="Y86" i="22"/>
  <c r="X86" i="22"/>
  <c r="W86" i="22"/>
  <c r="AO85" i="22"/>
  <c r="AN85" i="22"/>
  <c r="AM85" i="22"/>
  <c r="AL85" i="22"/>
  <c r="AK85" i="22"/>
  <c r="AJ85" i="22"/>
  <c r="AI85" i="22"/>
  <c r="AH85" i="22"/>
  <c r="AB85" i="22"/>
  <c r="AA85" i="22"/>
  <c r="Z85" i="22"/>
  <c r="Y85" i="22"/>
  <c r="X85" i="22"/>
  <c r="W85" i="22"/>
  <c r="AO84" i="22"/>
  <c r="AN84" i="22"/>
  <c r="AM84" i="22"/>
  <c r="AL84" i="22"/>
  <c r="AK84" i="22"/>
  <c r="AJ84" i="22"/>
  <c r="AI84" i="22"/>
  <c r="AH84" i="22"/>
  <c r="AB84" i="22"/>
  <c r="AA84" i="22"/>
  <c r="Z84" i="22"/>
  <c r="Y84" i="22"/>
  <c r="X84" i="22"/>
  <c r="W84" i="22"/>
  <c r="AO83" i="22"/>
  <c r="AN83" i="22"/>
  <c r="AM83" i="22"/>
  <c r="AL83" i="22"/>
  <c r="AK83" i="22"/>
  <c r="AJ83" i="22"/>
  <c r="AI83" i="22"/>
  <c r="AH83" i="22"/>
  <c r="AB83" i="22"/>
  <c r="AA83" i="22"/>
  <c r="Z83" i="22"/>
  <c r="Y83" i="22"/>
  <c r="X83" i="22"/>
  <c r="W83" i="22"/>
  <c r="AO82" i="22"/>
  <c r="AN82" i="22"/>
  <c r="AM82" i="22"/>
  <c r="AL82" i="22"/>
  <c r="AK82" i="22"/>
  <c r="AJ82" i="22"/>
  <c r="AI82" i="22"/>
  <c r="AH82" i="22"/>
  <c r="AB82" i="22"/>
  <c r="AA82" i="22"/>
  <c r="Z82" i="22"/>
  <c r="Y82" i="22"/>
  <c r="X82" i="22"/>
  <c r="W82" i="22"/>
  <c r="B82" i="22"/>
  <c r="A82" i="22"/>
  <c r="AO81" i="22"/>
  <c r="AB81" i="22"/>
  <c r="AA81" i="22"/>
  <c r="Z81" i="22"/>
  <c r="Y81" i="22"/>
  <c r="X81" i="22"/>
  <c r="W81" i="22"/>
  <c r="T81" i="22"/>
  <c r="AN81" i="22" s="1"/>
  <c r="S81" i="22"/>
  <c r="AM81" i="22" s="1"/>
  <c r="R81" i="22"/>
  <c r="AL81" i="22" s="1"/>
  <c r="Q81" i="22"/>
  <c r="AK81" i="22" s="1"/>
  <c r="P81" i="22"/>
  <c r="AJ81" i="22" s="1"/>
  <c r="O81" i="22"/>
  <c r="AI81" i="22" s="1"/>
  <c r="AH81" i="22"/>
  <c r="AG81" i="22"/>
  <c r="L81" i="22"/>
  <c r="AF81" i="22" s="1"/>
  <c r="K81" i="22"/>
  <c r="J81" i="22"/>
  <c r="I81" i="22"/>
  <c r="AO80" i="22"/>
  <c r="AB80" i="22"/>
  <c r="AA80" i="22"/>
  <c r="Z80" i="22"/>
  <c r="Y80" i="22"/>
  <c r="X80" i="22"/>
  <c r="W80" i="22"/>
  <c r="T80" i="22"/>
  <c r="AN80" i="22" s="1"/>
  <c r="S80" i="22"/>
  <c r="AM80" i="22" s="1"/>
  <c r="R80" i="22"/>
  <c r="AL80" i="22" s="1"/>
  <c r="Q80" i="22"/>
  <c r="AK80" i="22" s="1"/>
  <c r="P80" i="22"/>
  <c r="AJ80" i="22" s="1"/>
  <c r="O80" i="22"/>
  <c r="AI80" i="22" s="1"/>
  <c r="AH80" i="22"/>
  <c r="AG80" i="22"/>
  <c r="L80" i="22"/>
  <c r="AF80" i="22" s="1"/>
  <c r="K80" i="22"/>
  <c r="J80" i="22"/>
  <c r="I80" i="22"/>
  <c r="AO79" i="22"/>
  <c r="AB79" i="22"/>
  <c r="AA79" i="22"/>
  <c r="Z79" i="22"/>
  <c r="Y79" i="22"/>
  <c r="X79" i="22"/>
  <c r="W79" i="22"/>
  <c r="T79" i="22"/>
  <c r="AN79" i="22" s="1"/>
  <c r="S79" i="22"/>
  <c r="AM79" i="22" s="1"/>
  <c r="R79" i="22"/>
  <c r="AL79" i="22" s="1"/>
  <c r="Q79" i="22"/>
  <c r="AK79" i="22" s="1"/>
  <c r="P79" i="22"/>
  <c r="AJ79" i="22" s="1"/>
  <c r="O79" i="22"/>
  <c r="AI79" i="22" s="1"/>
  <c r="AH79" i="22"/>
  <c r="AG79" i="22"/>
  <c r="L79" i="22"/>
  <c r="AF79" i="22" s="1"/>
  <c r="K79" i="22"/>
  <c r="J79" i="22"/>
  <c r="I79" i="22"/>
  <c r="AO78" i="22"/>
  <c r="AB78" i="22"/>
  <c r="AA78" i="22"/>
  <c r="Z78" i="22"/>
  <c r="Y78" i="22"/>
  <c r="X78" i="22"/>
  <c r="W78" i="22"/>
  <c r="T78" i="22"/>
  <c r="AN78" i="22" s="1"/>
  <c r="S78" i="22"/>
  <c r="AM78" i="22" s="1"/>
  <c r="R78" i="22"/>
  <c r="AL78" i="22" s="1"/>
  <c r="Q78" i="22"/>
  <c r="AK78" i="22" s="1"/>
  <c r="P78" i="22"/>
  <c r="AJ78" i="22" s="1"/>
  <c r="O78" i="22"/>
  <c r="AI78" i="22" s="1"/>
  <c r="AH78" i="22"/>
  <c r="AG78" i="22"/>
  <c r="L78" i="22"/>
  <c r="AF78" i="22" s="1"/>
  <c r="K78" i="22"/>
  <c r="J78" i="22"/>
  <c r="I78" i="22"/>
  <c r="AO77" i="22"/>
  <c r="AB77" i="22"/>
  <c r="AA77" i="22"/>
  <c r="Z77" i="22"/>
  <c r="Y77" i="22"/>
  <c r="X77" i="22"/>
  <c r="W77" i="22"/>
  <c r="T77" i="22"/>
  <c r="AN77" i="22" s="1"/>
  <c r="S77" i="22"/>
  <c r="AM77" i="22" s="1"/>
  <c r="R77" i="22"/>
  <c r="AL77" i="22" s="1"/>
  <c r="Q77" i="22"/>
  <c r="AK77" i="22" s="1"/>
  <c r="P77" i="22"/>
  <c r="AJ77" i="22" s="1"/>
  <c r="O77" i="22"/>
  <c r="AI77" i="22" s="1"/>
  <c r="AH77" i="22"/>
  <c r="AG77" i="22"/>
  <c r="L77" i="22"/>
  <c r="AF77" i="22" s="1"/>
  <c r="K77" i="22"/>
  <c r="J77" i="22"/>
  <c r="I77" i="22"/>
  <c r="AO76" i="22"/>
  <c r="AB76" i="22"/>
  <c r="AA76" i="22"/>
  <c r="Z76" i="22"/>
  <c r="Y76" i="22"/>
  <c r="X76" i="22"/>
  <c r="W76" i="22"/>
  <c r="T76" i="22"/>
  <c r="AN76" i="22" s="1"/>
  <c r="S76" i="22"/>
  <c r="AM76" i="22" s="1"/>
  <c r="R76" i="22"/>
  <c r="AL76" i="22" s="1"/>
  <c r="Q76" i="22"/>
  <c r="AK76" i="22" s="1"/>
  <c r="P76" i="22"/>
  <c r="AJ76" i="22" s="1"/>
  <c r="O76" i="22"/>
  <c r="AI76" i="22" s="1"/>
  <c r="AH76" i="22"/>
  <c r="AG76" i="22"/>
  <c r="L76" i="22"/>
  <c r="AF76" i="22" s="1"/>
  <c r="K76" i="22"/>
  <c r="J76" i="22"/>
  <c r="I76" i="22"/>
  <c r="AO75" i="22"/>
  <c r="AB75" i="22"/>
  <c r="AA75" i="22"/>
  <c r="Z75" i="22"/>
  <c r="Y75" i="22"/>
  <c r="X75" i="22"/>
  <c r="W75" i="22"/>
  <c r="T75" i="22"/>
  <c r="AN75" i="22" s="1"/>
  <c r="S75" i="22"/>
  <c r="AM75" i="22" s="1"/>
  <c r="R75" i="22"/>
  <c r="AL75" i="22" s="1"/>
  <c r="Q75" i="22"/>
  <c r="AK75" i="22" s="1"/>
  <c r="P75" i="22"/>
  <c r="AJ75" i="22" s="1"/>
  <c r="O75" i="22"/>
  <c r="AI75" i="22" s="1"/>
  <c r="AH75" i="22"/>
  <c r="AG75" i="22"/>
  <c r="L75" i="22"/>
  <c r="AF75" i="22" s="1"/>
  <c r="K75" i="22"/>
  <c r="J75" i="22"/>
  <c r="I75" i="22"/>
  <c r="AO74" i="22"/>
  <c r="AB74" i="22"/>
  <c r="AA74" i="22"/>
  <c r="Z74" i="22"/>
  <c r="Y74" i="22"/>
  <c r="X74" i="22"/>
  <c r="W74" i="22"/>
  <c r="T74" i="22"/>
  <c r="AN74" i="22" s="1"/>
  <c r="S74" i="22"/>
  <c r="AM74" i="22" s="1"/>
  <c r="R74" i="22"/>
  <c r="AL74" i="22" s="1"/>
  <c r="Q74" i="22"/>
  <c r="AK74" i="22" s="1"/>
  <c r="P74" i="22"/>
  <c r="AJ74" i="22" s="1"/>
  <c r="O74" i="22"/>
  <c r="AI74" i="22" s="1"/>
  <c r="AH74" i="22"/>
  <c r="AG74" i="22"/>
  <c r="L74" i="22"/>
  <c r="AF74" i="22" s="1"/>
  <c r="K74" i="22"/>
  <c r="J74" i="22"/>
  <c r="I74" i="22"/>
  <c r="AO73" i="22"/>
  <c r="AB73" i="22"/>
  <c r="AA73" i="22"/>
  <c r="Z73" i="22"/>
  <c r="Y73" i="22"/>
  <c r="X73" i="22"/>
  <c r="W73" i="22"/>
  <c r="T73" i="22"/>
  <c r="AN73" i="22" s="1"/>
  <c r="S73" i="22"/>
  <c r="AM73" i="22" s="1"/>
  <c r="R73" i="22"/>
  <c r="AL73" i="22" s="1"/>
  <c r="Q73" i="22"/>
  <c r="AK73" i="22" s="1"/>
  <c r="P73" i="22"/>
  <c r="AJ73" i="22" s="1"/>
  <c r="O73" i="22"/>
  <c r="AI73" i="22" s="1"/>
  <c r="AH73" i="22"/>
  <c r="AG73" i="22"/>
  <c r="L73" i="22"/>
  <c r="AF73" i="22" s="1"/>
  <c r="K73" i="22"/>
  <c r="J73" i="22"/>
  <c r="I73" i="22"/>
  <c r="AO72" i="22"/>
  <c r="AB72" i="22"/>
  <c r="AA72" i="22"/>
  <c r="Z72" i="22"/>
  <c r="Y72" i="22"/>
  <c r="X72" i="22"/>
  <c r="W72" i="22"/>
  <c r="T72" i="22"/>
  <c r="AN72" i="22" s="1"/>
  <c r="S72" i="22"/>
  <c r="AM72" i="22" s="1"/>
  <c r="R72" i="22"/>
  <c r="AL72" i="22" s="1"/>
  <c r="Q72" i="22"/>
  <c r="AK72" i="22" s="1"/>
  <c r="P72" i="22"/>
  <c r="AJ72" i="22" s="1"/>
  <c r="O72" i="22"/>
  <c r="AI72" i="22" s="1"/>
  <c r="AH72" i="22"/>
  <c r="AG72" i="22"/>
  <c r="L72" i="22"/>
  <c r="AF72" i="22" s="1"/>
  <c r="K72" i="22"/>
  <c r="J72" i="22"/>
  <c r="I72" i="22"/>
  <c r="AO71" i="22"/>
  <c r="AB71" i="22"/>
  <c r="AA71" i="22"/>
  <c r="Z71" i="22"/>
  <c r="Y71" i="22"/>
  <c r="X71" i="22"/>
  <c r="W71" i="22"/>
  <c r="T71" i="22"/>
  <c r="AN71" i="22" s="1"/>
  <c r="S71" i="22"/>
  <c r="AM71" i="22" s="1"/>
  <c r="R71" i="22"/>
  <c r="AL71" i="22" s="1"/>
  <c r="Q71" i="22"/>
  <c r="AK71" i="22" s="1"/>
  <c r="P71" i="22"/>
  <c r="AJ71" i="22" s="1"/>
  <c r="O71" i="22"/>
  <c r="AI71" i="22" s="1"/>
  <c r="AH71" i="22"/>
  <c r="AG71" i="22"/>
  <c r="L71" i="22"/>
  <c r="AF71" i="22" s="1"/>
  <c r="K71" i="22"/>
  <c r="J71" i="22"/>
  <c r="I71" i="22"/>
  <c r="AO70" i="22"/>
  <c r="AB70" i="22"/>
  <c r="AA70" i="22"/>
  <c r="Z70" i="22"/>
  <c r="Y70" i="22"/>
  <c r="X70" i="22"/>
  <c r="W70" i="22"/>
  <c r="T70" i="22"/>
  <c r="AN70" i="22" s="1"/>
  <c r="S70" i="22"/>
  <c r="AM70" i="22" s="1"/>
  <c r="R70" i="22"/>
  <c r="AL70" i="22" s="1"/>
  <c r="Q70" i="22"/>
  <c r="AK70" i="22" s="1"/>
  <c r="P70" i="22"/>
  <c r="AJ70" i="22" s="1"/>
  <c r="O70" i="22"/>
  <c r="AI70" i="22" s="1"/>
  <c r="AH70" i="22"/>
  <c r="AG70" i="22"/>
  <c r="L70" i="22"/>
  <c r="AF70" i="22" s="1"/>
  <c r="K70" i="22"/>
  <c r="J70" i="22"/>
  <c r="I70" i="22"/>
  <c r="B70" i="22"/>
  <c r="A70" i="22"/>
  <c r="AO69" i="22"/>
  <c r="AN69" i="22"/>
  <c r="AM69" i="22"/>
  <c r="AL69" i="22"/>
  <c r="AK69" i="22"/>
  <c r="AJ69" i="22"/>
  <c r="AI69" i="22"/>
  <c r="AH69" i="22"/>
  <c r="AB69" i="22"/>
  <c r="AA69" i="22"/>
  <c r="Z69" i="22"/>
  <c r="Y69" i="22"/>
  <c r="X69" i="22"/>
  <c r="W69" i="22"/>
  <c r="AO68" i="22"/>
  <c r="AN68" i="22"/>
  <c r="AM68" i="22"/>
  <c r="AL68" i="22"/>
  <c r="AK68" i="22"/>
  <c r="AJ68" i="22"/>
  <c r="AI68" i="22"/>
  <c r="AH68" i="22"/>
  <c r="AB68" i="22"/>
  <c r="AA68" i="22"/>
  <c r="Z68" i="22"/>
  <c r="Y68" i="22"/>
  <c r="X68" i="22"/>
  <c r="W68" i="22"/>
  <c r="AO67" i="22"/>
  <c r="AN67" i="22"/>
  <c r="AM67" i="22"/>
  <c r="AL67" i="22"/>
  <c r="AK67" i="22"/>
  <c r="AJ67" i="22"/>
  <c r="AI67" i="22"/>
  <c r="AH67" i="22"/>
  <c r="AB67" i="22"/>
  <c r="AA67" i="22"/>
  <c r="Z67" i="22"/>
  <c r="Y67" i="22"/>
  <c r="X67" i="22"/>
  <c r="W67" i="22"/>
  <c r="AO66" i="22"/>
  <c r="AN66" i="22"/>
  <c r="AM66" i="22"/>
  <c r="AL66" i="22"/>
  <c r="AK66" i="22"/>
  <c r="AJ66" i="22"/>
  <c r="AI66" i="22"/>
  <c r="AH66" i="22"/>
  <c r="AB66" i="22"/>
  <c r="AA66" i="22"/>
  <c r="Z66" i="22"/>
  <c r="Y66" i="22"/>
  <c r="X66" i="22"/>
  <c r="W66" i="22"/>
  <c r="AO65" i="22"/>
  <c r="AN65" i="22"/>
  <c r="AM65" i="22"/>
  <c r="AL65" i="22"/>
  <c r="AK65" i="22"/>
  <c r="AJ65" i="22"/>
  <c r="AI65" i="22"/>
  <c r="AH65" i="22"/>
  <c r="AB65" i="22"/>
  <c r="AA65" i="22"/>
  <c r="Z65" i="22"/>
  <c r="Y65" i="22"/>
  <c r="X65" i="22"/>
  <c r="W65" i="22"/>
  <c r="AO64" i="22"/>
  <c r="AN64" i="22"/>
  <c r="AM64" i="22"/>
  <c r="AL64" i="22"/>
  <c r="AK64" i="22"/>
  <c r="AJ64" i="22"/>
  <c r="AI64" i="22"/>
  <c r="AH64" i="22"/>
  <c r="AB64" i="22"/>
  <c r="AA64" i="22"/>
  <c r="Z64" i="22"/>
  <c r="Y64" i="22"/>
  <c r="X64" i="22"/>
  <c r="W64" i="22"/>
  <c r="AO63" i="22"/>
  <c r="AN63" i="22"/>
  <c r="AM63" i="22"/>
  <c r="AL63" i="22"/>
  <c r="AK63" i="22"/>
  <c r="AJ63" i="22"/>
  <c r="AI63" i="22"/>
  <c r="AH63" i="22"/>
  <c r="AB63" i="22"/>
  <c r="AA63" i="22"/>
  <c r="Z63" i="22"/>
  <c r="Y63" i="22"/>
  <c r="X63" i="22"/>
  <c r="W63" i="22"/>
  <c r="AO62" i="22"/>
  <c r="AN62" i="22"/>
  <c r="AM62" i="22"/>
  <c r="AL62" i="22"/>
  <c r="AK62" i="22"/>
  <c r="AJ62" i="22"/>
  <c r="AI62" i="22"/>
  <c r="AH62" i="22"/>
  <c r="AB62" i="22"/>
  <c r="AA62" i="22"/>
  <c r="Z62" i="22"/>
  <c r="Y62" i="22"/>
  <c r="X62" i="22"/>
  <c r="W62" i="22"/>
  <c r="AO61" i="22"/>
  <c r="AN61" i="22"/>
  <c r="AM61" i="22"/>
  <c r="AL61" i="22"/>
  <c r="AK61" i="22"/>
  <c r="AJ61" i="22"/>
  <c r="AI61" i="22"/>
  <c r="AH61" i="22"/>
  <c r="AB61" i="22"/>
  <c r="AA61" i="22"/>
  <c r="Z61" i="22"/>
  <c r="Y61" i="22"/>
  <c r="X61" i="22"/>
  <c r="W61" i="22"/>
  <c r="AO60" i="22"/>
  <c r="AN60" i="22"/>
  <c r="AM60" i="22"/>
  <c r="AL60" i="22"/>
  <c r="AK60" i="22"/>
  <c r="AJ60" i="22"/>
  <c r="AI60" i="22"/>
  <c r="AH60" i="22"/>
  <c r="AB60" i="22"/>
  <c r="AA60" i="22"/>
  <c r="Z60" i="22"/>
  <c r="Y60" i="22"/>
  <c r="X60" i="22"/>
  <c r="W60" i="22"/>
  <c r="AO59" i="22"/>
  <c r="AN59" i="22"/>
  <c r="AM59" i="22"/>
  <c r="AL59" i="22"/>
  <c r="AK59" i="22"/>
  <c r="AJ59" i="22"/>
  <c r="AI59" i="22"/>
  <c r="AH59" i="22"/>
  <c r="AB59" i="22"/>
  <c r="AA59" i="22"/>
  <c r="Z59" i="22"/>
  <c r="Y59" i="22"/>
  <c r="X59" i="22"/>
  <c r="W59" i="22"/>
  <c r="AO58" i="22"/>
  <c r="AN58" i="22"/>
  <c r="AM58" i="22"/>
  <c r="AL58" i="22"/>
  <c r="AK58" i="22"/>
  <c r="AJ58" i="22"/>
  <c r="AI58" i="22"/>
  <c r="AH58" i="22"/>
  <c r="AB58" i="22"/>
  <c r="AA58" i="22"/>
  <c r="Z58" i="22"/>
  <c r="Y58" i="22"/>
  <c r="X58" i="22"/>
  <c r="W58" i="22"/>
  <c r="B58" i="22"/>
  <c r="A58" i="22"/>
  <c r="AO57" i="22"/>
  <c r="AN57" i="22"/>
  <c r="AM57" i="22"/>
  <c r="AL57" i="22"/>
  <c r="AK57" i="22"/>
  <c r="AJ57" i="22"/>
  <c r="AI57" i="22"/>
  <c r="AH57" i="22"/>
  <c r="AB57" i="22"/>
  <c r="AA57" i="22"/>
  <c r="Z57" i="22"/>
  <c r="Y57" i="22"/>
  <c r="X57" i="22"/>
  <c r="W57" i="22"/>
  <c r="L57" i="22"/>
  <c r="AF57" i="22" s="1"/>
  <c r="K57" i="22"/>
  <c r="J57" i="22"/>
  <c r="I57" i="22"/>
  <c r="AO56" i="22"/>
  <c r="AN56" i="22"/>
  <c r="AM56" i="22"/>
  <c r="AL56" i="22"/>
  <c r="AK56" i="22"/>
  <c r="AJ56" i="22"/>
  <c r="AI56" i="22"/>
  <c r="AH56" i="22"/>
  <c r="AB56" i="22"/>
  <c r="AA56" i="22"/>
  <c r="Z56" i="22"/>
  <c r="Y56" i="22"/>
  <c r="X56" i="22"/>
  <c r="W56" i="22"/>
  <c r="L56" i="22"/>
  <c r="AF56" i="22" s="1"/>
  <c r="K56" i="22"/>
  <c r="J56" i="22"/>
  <c r="I56" i="22"/>
  <c r="AO55" i="22"/>
  <c r="AN55" i="22"/>
  <c r="AM55" i="22"/>
  <c r="AL55" i="22"/>
  <c r="AK55" i="22"/>
  <c r="AJ55" i="22"/>
  <c r="AI55" i="22"/>
  <c r="AH55" i="22"/>
  <c r="AB55" i="22"/>
  <c r="AA55" i="22"/>
  <c r="Z55" i="22"/>
  <c r="Y55" i="22"/>
  <c r="X55" i="22"/>
  <c r="W55" i="22"/>
  <c r="L55" i="22"/>
  <c r="AF55" i="22" s="1"/>
  <c r="K55" i="22"/>
  <c r="J55" i="22"/>
  <c r="I55" i="22"/>
  <c r="AO54" i="22"/>
  <c r="AN54" i="22"/>
  <c r="AM54" i="22"/>
  <c r="AL54" i="22"/>
  <c r="AK54" i="22"/>
  <c r="AJ54" i="22"/>
  <c r="AI54" i="22"/>
  <c r="AH54" i="22"/>
  <c r="AB54" i="22"/>
  <c r="AA54" i="22"/>
  <c r="Z54" i="22"/>
  <c r="Y54" i="22"/>
  <c r="X54" i="22"/>
  <c r="W54" i="22"/>
  <c r="L54" i="22"/>
  <c r="AF54" i="22" s="1"/>
  <c r="K54" i="22"/>
  <c r="J54" i="22"/>
  <c r="I54" i="22"/>
  <c r="AO53" i="22"/>
  <c r="AN53" i="22"/>
  <c r="AM53" i="22"/>
  <c r="AL53" i="22"/>
  <c r="AK53" i="22"/>
  <c r="AJ53" i="22"/>
  <c r="AI53" i="22"/>
  <c r="AH53" i="22"/>
  <c r="AB53" i="22"/>
  <c r="AA53" i="22"/>
  <c r="Z53" i="22"/>
  <c r="Y53" i="22"/>
  <c r="X53" i="22"/>
  <c r="W53" i="22"/>
  <c r="L53" i="22"/>
  <c r="AF53" i="22" s="1"/>
  <c r="K53" i="22"/>
  <c r="J53" i="22"/>
  <c r="I53" i="22"/>
  <c r="AO52" i="22"/>
  <c r="AN52" i="22"/>
  <c r="AM52" i="22"/>
  <c r="AL52" i="22"/>
  <c r="AK52" i="22"/>
  <c r="AJ52" i="22"/>
  <c r="AI52" i="22"/>
  <c r="AH52" i="22"/>
  <c r="AB52" i="22"/>
  <c r="AA52" i="22"/>
  <c r="Z52" i="22"/>
  <c r="Y52" i="22"/>
  <c r="X52" i="22"/>
  <c r="W52" i="22"/>
  <c r="L52" i="22"/>
  <c r="AF52" i="22" s="1"/>
  <c r="K52" i="22"/>
  <c r="J52" i="22"/>
  <c r="I52" i="22"/>
  <c r="AO51" i="22"/>
  <c r="AN51" i="22"/>
  <c r="AM51" i="22"/>
  <c r="AL51" i="22"/>
  <c r="AK51" i="22"/>
  <c r="AJ51" i="22"/>
  <c r="AI51" i="22"/>
  <c r="AH51" i="22"/>
  <c r="AB51" i="22"/>
  <c r="AA51" i="22"/>
  <c r="Z51" i="22"/>
  <c r="Y51" i="22"/>
  <c r="X51" i="22"/>
  <c r="W51" i="22"/>
  <c r="L51" i="22"/>
  <c r="AF51" i="22" s="1"/>
  <c r="K51" i="22"/>
  <c r="J51" i="22"/>
  <c r="I51" i="22"/>
  <c r="AO50" i="22"/>
  <c r="AN50" i="22"/>
  <c r="AM50" i="22"/>
  <c r="AL50" i="22"/>
  <c r="AK50" i="22"/>
  <c r="AJ50" i="22"/>
  <c r="AI50" i="22"/>
  <c r="AH50" i="22"/>
  <c r="AB50" i="22"/>
  <c r="AA50" i="22"/>
  <c r="Z50" i="22"/>
  <c r="Y50" i="22"/>
  <c r="X50" i="22"/>
  <c r="W50" i="22"/>
  <c r="L50" i="22"/>
  <c r="AF50" i="22" s="1"/>
  <c r="K50" i="22"/>
  <c r="J50" i="22"/>
  <c r="I50" i="22"/>
  <c r="AO49" i="22"/>
  <c r="AN49" i="22"/>
  <c r="AM49" i="22"/>
  <c r="AL49" i="22"/>
  <c r="AK49" i="22"/>
  <c r="AJ49" i="22"/>
  <c r="AI49" i="22"/>
  <c r="AH49" i="22"/>
  <c r="AB49" i="22"/>
  <c r="AA49" i="22"/>
  <c r="Z49" i="22"/>
  <c r="Y49" i="22"/>
  <c r="X49" i="22"/>
  <c r="W49" i="22"/>
  <c r="L49" i="22"/>
  <c r="AF49" i="22" s="1"/>
  <c r="K49" i="22"/>
  <c r="J49" i="22"/>
  <c r="I49" i="22"/>
  <c r="AO48" i="22"/>
  <c r="AN48" i="22"/>
  <c r="AM48" i="22"/>
  <c r="AL48" i="22"/>
  <c r="AK48" i="22"/>
  <c r="AJ48" i="22"/>
  <c r="AI48" i="22"/>
  <c r="AH48" i="22"/>
  <c r="AB48" i="22"/>
  <c r="AA48" i="22"/>
  <c r="Z48" i="22"/>
  <c r="Y48" i="22"/>
  <c r="X48" i="22"/>
  <c r="W48" i="22"/>
  <c r="L48" i="22"/>
  <c r="AF48" i="22" s="1"/>
  <c r="K48" i="22"/>
  <c r="J48" i="22"/>
  <c r="I48" i="22"/>
  <c r="AO47" i="22"/>
  <c r="AN47" i="22"/>
  <c r="AM47" i="22"/>
  <c r="AL47" i="22"/>
  <c r="AK47" i="22"/>
  <c r="AJ47" i="22"/>
  <c r="AI47" i="22"/>
  <c r="AH47" i="22"/>
  <c r="AB47" i="22"/>
  <c r="AA47" i="22"/>
  <c r="Z47" i="22"/>
  <c r="Y47" i="22"/>
  <c r="X47" i="22"/>
  <c r="W47" i="22"/>
  <c r="L47" i="22"/>
  <c r="AF47" i="22" s="1"/>
  <c r="K47" i="22"/>
  <c r="J47" i="22"/>
  <c r="I47" i="22"/>
  <c r="AO46" i="22"/>
  <c r="AN46" i="22"/>
  <c r="AM46" i="22"/>
  <c r="AL46" i="22"/>
  <c r="AK46" i="22"/>
  <c r="AJ46" i="22"/>
  <c r="AI46" i="22"/>
  <c r="AH46" i="22"/>
  <c r="AB46" i="22"/>
  <c r="AA46" i="22"/>
  <c r="Z46" i="22"/>
  <c r="Y46" i="22"/>
  <c r="X46" i="22"/>
  <c r="W46" i="22"/>
  <c r="L46" i="22"/>
  <c r="AF46" i="22" s="1"/>
  <c r="K46" i="22"/>
  <c r="J46" i="22"/>
  <c r="I46" i="22"/>
  <c r="B46" i="22"/>
  <c r="A46" i="22"/>
  <c r="AN45" i="22"/>
  <c r="AM45" i="22"/>
  <c r="AL45" i="22"/>
  <c r="AK45" i="22"/>
  <c r="AJ45" i="22"/>
  <c r="AI45" i="22"/>
  <c r="AH45" i="22"/>
  <c r="AB45" i="22"/>
  <c r="AA45" i="22"/>
  <c r="Z45" i="22"/>
  <c r="Y45" i="22"/>
  <c r="X45" i="22"/>
  <c r="W45" i="22"/>
  <c r="AN44" i="22"/>
  <c r="AM44" i="22"/>
  <c r="AL44" i="22"/>
  <c r="AK44" i="22"/>
  <c r="AJ44" i="22"/>
  <c r="AI44" i="22"/>
  <c r="AH44" i="22"/>
  <c r="AB44" i="22"/>
  <c r="AA44" i="22"/>
  <c r="Z44" i="22"/>
  <c r="Y44" i="22"/>
  <c r="X44" i="22"/>
  <c r="W44" i="22"/>
  <c r="AN43" i="22"/>
  <c r="AM43" i="22"/>
  <c r="AL43" i="22"/>
  <c r="AK43" i="22"/>
  <c r="AJ43" i="22"/>
  <c r="AI43" i="22"/>
  <c r="AH43" i="22"/>
  <c r="AB43" i="22"/>
  <c r="AA43" i="22"/>
  <c r="Z43" i="22"/>
  <c r="Y43" i="22"/>
  <c r="X43" i="22"/>
  <c r="W43" i="22"/>
  <c r="AN42" i="22"/>
  <c r="AM42" i="22"/>
  <c r="AL42" i="22"/>
  <c r="AK42" i="22"/>
  <c r="AJ42" i="22"/>
  <c r="AI42" i="22"/>
  <c r="AH42" i="22"/>
  <c r="AB42" i="22"/>
  <c r="AA42" i="22"/>
  <c r="Z42" i="22"/>
  <c r="Y42" i="22"/>
  <c r="X42" i="22"/>
  <c r="W42" i="22"/>
  <c r="AN41" i="22"/>
  <c r="AM41" i="22"/>
  <c r="AL41" i="22"/>
  <c r="AK41" i="22"/>
  <c r="AJ41" i="22"/>
  <c r="AI41" i="22"/>
  <c r="AH41" i="22"/>
  <c r="AB41" i="22"/>
  <c r="AA41" i="22"/>
  <c r="Z41" i="22"/>
  <c r="Y41" i="22"/>
  <c r="X41" i="22"/>
  <c r="W41" i="22"/>
  <c r="AN40" i="22"/>
  <c r="AM40" i="22"/>
  <c r="AL40" i="22"/>
  <c r="AK40" i="22"/>
  <c r="AJ40" i="22"/>
  <c r="AI40" i="22"/>
  <c r="AH40" i="22"/>
  <c r="AB40" i="22"/>
  <c r="AA40" i="22"/>
  <c r="Z40" i="22"/>
  <c r="Y40" i="22"/>
  <c r="X40" i="22"/>
  <c r="W40" i="22"/>
  <c r="AN39" i="22"/>
  <c r="AM39" i="22"/>
  <c r="AL39" i="22"/>
  <c r="AK39" i="22"/>
  <c r="AJ39" i="22"/>
  <c r="AI39" i="22"/>
  <c r="AH39" i="22"/>
  <c r="AB39" i="22"/>
  <c r="AA39" i="22"/>
  <c r="Z39" i="22"/>
  <c r="Y39" i="22"/>
  <c r="X39" i="22"/>
  <c r="W39" i="22"/>
  <c r="AN38" i="22"/>
  <c r="AM38" i="22"/>
  <c r="AL38" i="22"/>
  <c r="AK38" i="22"/>
  <c r="AJ38" i="22"/>
  <c r="AI38" i="22"/>
  <c r="AH38" i="22"/>
  <c r="AB38" i="22"/>
  <c r="AA38" i="22"/>
  <c r="Z38" i="22"/>
  <c r="Y38" i="22"/>
  <c r="X38" i="22"/>
  <c r="W38" i="22"/>
  <c r="AN37" i="22"/>
  <c r="AM37" i="22"/>
  <c r="AL37" i="22"/>
  <c r="AK37" i="22"/>
  <c r="AJ37" i="22"/>
  <c r="AI37" i="22"/>
  <c r="AH37" i="22"/>
  <c r="AB37" i="22"/>
  <c r="AA37" i="22"/>
  <c r="Z37" i="22"/>
  <c r="Y37" i="22"/>
  <c r="X37" i="22"/>
  <c r="W37" i="22"/>
  <c r="AN36" i="22"/>
  <c r="AM36" i="22"/>
  <c r="AL36" i="22"/>
  <c r="AK36" i="22"/>
  <c r="AJ36" i="22"/>
  <c r="AI36" i="22"/>
  <c r="AH36" i="22"/>
  <c r="AB36" i="22"/>
  <c r="AA36" i="22"/>
  <c r="Z36" i="22"/>
  <c r="Y36" i="22"/>
  <c r="X36" i="22"/>
  <c r="W36" i="22"/>
  <c r="AN35" i="22"/>
  <c r="AM35" i="22"/>
  <c r="AL35" i="22"/>
  <c r="AK35" i="22"/>
  <c r="AJ35" i="22"/>
  <c r="AI35" i="22"/>
  <c r="AH35" i="22"/>
  <c r="AB35" i="22"/>
  <c r="AA35" i="22"/>
  <c r="Z35" i="22"/>
  <c r="Y35" i="22"/>
  <c r="X35" i="22"/>
  <c r="W35" i="22"/>
  <c r="AN34" i="22"/>
  <c r="AM34" i="22"/>
  <c r="AL34" i="22"/>
  <c r="AK34" i="22"/>
  <c r="AJ34" i="22"/>
  <c r="AI34" i="22"/>
  <c r="AH34" i="22"/>
  <c r="AB34" i="22"/>
  <c r="AA34" i="22"/>
  <c r="Z34" i="22"/>
  <c r="Y34" i="22"/>
  <c r="X34" i="22"/>
  <c r="W34" i="22"/>
  <c r="B34" i="22"/>
  <c r="A34" i="22"/>
  <c r="AO33" i="22"/>
  <c r="AN33" i="22"/>
  <c r="AM33" i="22"/>
  <c r="AL33" i="22"/>
  <c r="AK33" i="22"/>
  <c r="AJ33" i="22"/>
  <c r="AI33" i="22"/>
  <c r="AH33" i="22"/>
  <c r="AB33" i="22"/>
  <c r="AA33" i="22"/>
  <c r="Z33" i="22"/>
  <c r="Y33" i="22"/>
  <c r="X33" i="22"/>
  <c r="W33" i="22"/>
  <c r="L33" i="22"/>
  <c r="AF33" i="22" s="1"/>
  <c r="K33" i="22"/>
  <c r="J33" i="22"/>
  <c r="I33" i="22"/>
  <c r="AO32" i="22"/>
  <c r="AN32" i="22"/>
  <c r="AM32" i="22"/>
  <c r="AL32" i="22"/>
  <c r="AK32" i="22"/>
  <c r="AJ32" i="22"/>
  <c r="AI32" i="22"/>
  <c r="AH32" i="22"/>
  <c r="AB32" i="22"/>
  <c r="AA32" i="22"/>
  <c r="Z32" i="22"/>
  <c r="Y32" i="22"/>
  <c r="X32" i="22"/>
  <c r="W32" i="22"/>
  <c r="L32" i="22"/>
  <c r="AF32" i="22" s="1"/>
  <c r="K32" i="22"/>
  <c r="J32" i="22"/>
  <c r="I32" i="22"/>
  <c r="AO31" i="22"/>
  <c r="AN31" i="22"/>
  <c r="AM31" i="22"/>
  <c r="AL31" i="22"/>
  <c r="AK31" i="22"/>
  <c r="AJ31" i="22"/>
  <c r="AI31" i="22"/>
  <c r="AH31" i="22"/>
  <c r="AB31" i="22"/>
  <c r="AA31" i="22"/>
  <c r="Z31" i="22"/>
  <c r="Y31" i="22"/>
  <c r="X31" i="22"/>
  <c r="W31" i="22"/>
  <c r="L31" i="22"/>
  <c r="AF31" i="22" s="1"/>
  <c r="K31" i="22"/>
  <c r="J31" i="22"/>
  <c r="I31" i="22"/>
  <c r="AO30" i="22"/>
  <c r="AN30" i="22"/>
  <c r="AM30" i="22"/>
  <c r="AL30" i="22"/>
  <c r="AK30" i="22"/>
  <c r="AJ30" i="22"/>
  <c r="AI30" i="22"/>
  <c r="AH30" i="22"/>
  <c r="AB30" i="22"/>
  <c r="AA30" i="22"/>
  <c r="Z30" i="22"/>
  <c r="Y30" i="22"/>
  <c r="X30" i="22"/>
  <c r="W30" i="22"/>
  <c r="L30" i="22"/>
  <c r="AF30" i="22" s="1"/>
  <c r="K30" i="22"/>
  <c r="J30" i="22"/>
  <c r="I30" i="22"/>
  <c r="AO29" i="22"/>
  <c r="AN29" i="22"/>
  <c r="AM29" i="22"/>
  <c r="AL29" i="22"/>
  <c r="AK29" i="22"/>
  <c r="AJ29" i="22"/>
  <c r="AI29" i="22"/>
  <c r="AH29" i="22"/>
  <c r="AB29" i="22"/>
  <c r="AA29" i="22"/>
  <c r="Z29" i="22"/>
  <c r="Y29" i="22"/>
  <c r="X29" i="22"/>
  <c r="W29" i="22"/>
  <c r="L29" i="22"/>
  <c r="AF29" i="22" s="1"/>
  <c r="K29" i="22"/>
  <c r="J29" i="22"/>
  <c r="I29" i="22"/>
  <c r="AO28" i="22"/>
  <c r="AN28" i="22"/>
  <c r="AM28" i="22"/>
  <c r="AL28" i="22"/>
  <c r="AK28" i="22"/>
  <c r="AJ28" i="22"/>
  <c r="AI28" i="22"/>
  <c r="AH28" i="22"/>
  <c r="AB28" i="22"/>
  <c r="AA28" i="22"/>
  <c r="Z28" i="22"/>
  <c r="Y28" i="22"/>
  <c r="X28" i="22"/>
  <c r="W28" i="22"/>
  <c r="L28" i="22"/>
  <c r="AF28" i="22" s="1"/>
  <c r="K28" i="22"/>
  <c r="J28" i="22"/>
  <c r="I28" i="22"/>
  <c r="AO27" i="22"/>
  <c r="AN27" i="22"/>
  <c r="AM27" i="22"/>
  <c r="AL27" i="22"/>
  <c r="AK27" i="22"/>
  <c r="AJ27" i="22"/>
  <c r="AI27" i="22"/>
  <c r="AH27" i="22"/>
  <c r="AB27" i="22"/>
  <c r="AA27" i="22"/>
  <c r="Z27" i="22"/>
  <c r="Y27" i="22"/>
  <c r="X27" i="22"/>
  <c r="W27" i="22"/>
  <c r="L27" i="22"/>
  <c r="AF27" i="22" s="1"/>
  <c r="K27" i="22"/>
  <c r="J27" i="22"/>
  <c r="I27" i="22"/>
  <c r="AO26" i="22"/>
  <c r="AN26" i="22"/>
  <c r="AM26" i="22"/>
  <c r="AL26" i="22"/>
  <c r="AK26" i="22"/>
  <c r="AJ26" i="22"/>
  <c r="AI26" i="22"/>
  <c r="AH26" i="22"/>
  <c r="AB26" i="22"/>
  <c r="AA26" i="22"/>
  <c r="Z26" i="22"/>
  <c r="Y26" i="22"/>
  <c r="X26" i="22"/>
  <c r="W26" i="22"/>
  <c r="L26" i="22"/>
  <c r="AF26" i="22" s="1"/>
  <c r="K26" i="22"/>
  <c r="J26" i="22"/>
  <c r="I26" i="22"/>
  <c r="AO25" i="22"/>
  <c r="AN25" i="22"/>
  <c r="AM25" i="22"/>
  <c r="AL25" i="22"/>
  <c r="AK25" i="22"/>
  <c r="AJ25" i="22"/>
  <c r="AI25" i="22"/>
  <c r="AH25" i="22"/>
  <c r="AB25" i="22"/>
  <c r="AA25" i="22"/>
  <c r="Z25" i="22"/>
  <c r="Y25" i="22"/>
  <c r="X25" i="22"/>
  <c r="W25" i="22"/>
  <c r="L25" i="22"/>
  <c r="AF25" i="22" s="1"/>
  <c r="K25" i="22"/>
  <c r="J25" i="22"/>
  <c r="I25" i="22"/>
  <c r="AO24" i="22"/>
  <c r="AN24" i="22"/>
  <c r="AM24" i="22"/>
  <c r="AL24" i="22"/>
  <c r="AK24" i="22"/>
  <c r="AJ24" i="22"/>
  <c r="AI24" i="22"/>
  <c r="AH24" i="22"/>
  <c r="AB24" i="22"/>
  <c r="AA24" i="22"/>
  <c r="Z24" i="22"/>
  <c r="Y24" i="22"/>
  <c r="X24" i="22"/>
  <c r="W24" i="22"/>
  <c r="L24" i="22"/>
  <c r="AF24" i="22" s="1"/>
  <c r="K24" i="22"/>
  <c r="J24" i="22"/>
  <c r="I24" i="22"/>
  <c r="AO23" i="22"/>
  <c r="AN23" i="22"/>
  <c r="AM23" i="22"/>
  <c r="AL23" i="22"/>
  <c r="AK23" i="22"/>
  <c r="AJ23" i="22"/>
  <c r="AI23" i="22"/>
  <c r="AH23" i="22"/>
  <c r="AB23" i="22"/>
  <c r="AA23" i="22"/>
  <c r="Z23" i="22"/>
  <c r="Y23" i="22"/>
  <c r="X23" i="22"/>
  <c r="W23" i="22"/>
  <c r="L23" i="22"/>
  <c r="AF23" i="22" s="1"/>
  <c r="K23" i="22"/>
  <c r="J23" i="22"/>
  <c r="I23" i="22"/>
  <c r="AO22" i="22"/>
  <c r="AN22" i="22"/>
  <c r="AM22" i="22"/>
  <c r="AL22" i="22"/>
  <c r="AK22" i="22"/>
  <c r="AJ22" i="22"/>
  <c r="AI22" i="22"/>
  <c r="AH22" i="22"/>
  <c r="AB22" i="22"/>
  <c r="AA22" i="22"/>
  <c r="Z22" i="22"/>
  <c r="Y22" i="22"/>
  <c r="X22" i="22"/>
  <c r="W22" i="22"/>
  <c r="L22" i="22"/>
  <c r="AF22" i="22" s="1"/>
  <c r="K22" i="22"/>
  <c r="J22" i="22"/>
  <c r="I22" i="22"/>
  <c r="A22" i="22"/>
  <c r="AO21" i="22"/>
  <c r="AN21" i="22"/>
  <c r="AM21" i="22"/>
  <c r="AL21" i="22"/>
  <c r="AK21" i="22"/>
  <c r="AJ21" i="22"/>
  <c r="AI21" i="22"/>
  <c r="AH21" i="22"/>
  <c r="AB21" i="22"/>
  <c r="AA21" i="22"/>
  <c r="Z21" i="22"/>
  <c r="Y21" i="22"/>
  <c r="X21" i="22"/>
  <c r="W21" i="22"/>
  <c r="AO20" i="22"/>
  <c r="AN20" i="22"/>
  <c r="AM20" i="22"/>
  <c r="AL20" i="22"/>
  <c r="AK20" i="22"/>
  <c r="AJ20" i="22"/>
  <c r="AI20" i="22"/>
  <c r="AH20" i="22"/>
  <c r="AB20" i="22"/>
  <c r="AA20" i="22"/>
  <c r="Z20" i="22"/>
  <c r="Y20" i="22"/>
  <c r="X20" i="22"/>
  <c r="W20" i="22"/>
  <c r="AO19" i="22"/>
  <c r="AN19" i="22"/>
  <c r="AM19" i="22"/>
  <c r="AL19" i="22"/>
  <c r="AK19" i="22"/>
  <c r="AJ19" i="22"/>
  <c r="AI19" i="22"/>
  <c r="AH19" i="22"/>
  <c r="AB19" i="22"/>
  <c r="AA19" i="22"/>
  <c r="Z19" i="22"/>
  <c r="Y19" i="22"/>
  <c r="X19" i="22"/>
  <c r="W19" i="22"/>
  <c r="AO18" i="22"/>
  <c r="AN18" i="22"/>
  <c r="AM18" i="22"/>
  <c r="AL18" i="22"/>
  <c r="AK18" i="22"/>
  <c r="AJ18" i="22"/>
  <c r="AI18" i="22"/>
  <c r="AH18" i="22"/>
  <c r="AB18" i="22"/>
  <c r="AA18" i="22"/>
  <c r="Z18" i="22"/>
  <c r="Y18" i="22"/>
  <c r="X18" i="22"/>
  <c r="W18" i="22"/>
  <c r="AO17" i="22"/>
  <c r="AN17" i="22"/>
  <c r="AM17" i="22"/>
  <c r="AL17" i="22"/>
  <c r="AK17" i="22"/>
  <c r="AJ17" i="22"/>
  <c r="AI17" i="22"/>
  <c r="AH17" i="22"/>
  <c r="AB17" i="22"/>
  <c r="AA17" i="22"/>
  <c r="Z17" i="22"/>
  <c r="Y17" i="22"/>
  <c r="X17" i="22"/>
  <c r="W17" i="22"/>
  <c r="AO16" i="22"/>
  <c r="AN16" i="22"/>
  <c r="AM16" i="22"/>
  <c r="AL16" i="22"/>
  <c r="AK16" i="22"/>
  <c r="AJ16" i="22"/>
  <c r="AI16" i="22"/>
  <c r="AH16" i="22"/>
  <c r="AB16" i="22"/>
  <c r="AA16" i="22"/>
  <c r="Z16" i="22"/>
  <c r="Y16" i="22"/>
  <c r="X16" i="22"/>
  <c r="W16" i="22"/>
  <c r="AO15" i="22"/>
  <c r="AN15" i="22"/>
  <c r="AM15" i="22"/>
  <c r="AL15" i="22"/>
  <c r="AK15" i="22"/>
  <c r="AJ15" i="22"/>
  <c r="AI15" i="22"/>
  <c r="AH15" i="22"/>
  <c r="AB15" i="22"/>
  <c r="AA15" i="22"/>
  <c r="Z15" i="22"/>
  <c r="Y15" i="22"/>
  <c r="X15" i="22"/>
  <c r="W15" i="22"/>
  <c r="AO14" i="22"/>
  <c r="AN14" i="22"/>
  <c r="AM14" i="22"/>
  <c r="AL14" i="22"/>
  <c r="AK14" i="22"/>
  <c r="AJ14" i="22"/>
  <c r="AI14" i="22"/>
  <c r="AH14" i="22"/>
  <c r="AB14" i="22"/>
  <c r="AA14" i="22"/>
  <c r="Z14" i="22"/>
  <c r="Y14" i="22"/>
  <c r="X14" i="22"/>
  <c r="W14" i="22"/>
  <c r="AO13" i="22"/>
  <c r="AN13" i="22"/>
  <c r="AM13" i="22"/>
  <c r="AL13" i="22"/>
  <c r="AK13" i="22"/>
  <c r="AJ13" i="22"/>
  <c r="AI13" i="22"/>
  <c r="AH13" i="22"/>
  <c r="AB13" i="22"/>
  <c r="AA13" i="22"/>
  <c r="Z13" i="22"/>
  <c r="Y13" i="22"/>
  <c r="X13" i="22"/>
  <c r="W13" i="22"/>
  <c r="AO12" i="22"/>
  <c r="AN12" i="22"/>
  <c r="AM12" i="22"/>
  <c r="AL12" i="22"/>
  <c r="AK12" i="22"/>
  <c r="AJ12" i="22"/>
  <c r="AI12" i="22"/>
  <c r="AH12" i="22"/>
  <c r="AB12" i="22"/>
  <c r="AA12" i="22"/>
  <c r="Z12" i="22"/>
  <c r="Y12" i="22"/>
  <c r="X12" i="22"/>
  <c r="W12" i="22"/>
  <c r="AO11" i="22"/>
  <c r="AN11" i="22"/>
  <c r="AM11" i="22"/>
  <c r="AL11" i="22"/>
  <c r="AK11" i="22"/>
  <c r="AJ11" i="22"/>
  <c r="AI11" i="22"/>
  <c r="AH11" i="22"/>
  <c r="AB11" i="22"/>
  <c r="AA11" i="22"/>
  <c r="Z11" i="22"/>
  <c r="Y11" i="22"/>
  <c r="X11" i="22"/>
  <c r="W11" i="22"/>
  <c r="AO10" i="22"/>
  <c r="AN10" i="22"/>
  <c r="AM10" i="22"/>
  <c r="AL10" i="22"/>
  <c r="AK10" i="22"/>
  <c r="AJ10" i="22"/>
  <c r="AI10" i="22"/>
  <c r="AH10" i="22"/>
  <c r="AB10" i="22"/>
  <c r="AA10" i="22"/>
  <c r="Z10" i="22"/>
  <c r="Y10" i="22"/>
  <c r="X10" i="22"/>
  <c r="W10" i="22"/>
  <c r="A10" i="22"/>
  <c r="B7" i="22"/>
  <c r="C4" i="22"/>
  <c r="F3" i="22"/>
  <c r="C5" i="22" s="1"/>
  <c r="B105" i="14"/>
  <c r="A105" i="14"/>
  <c r="B104" i="14"/>
  <c r="A104" i="14"/>
  <c r="B103" i="14"/>
  <c r="A103" i="14"/>
  <c r="B101" i="14"/>
  <c r="A101" i="14"/>
  <c r="B100" i="14"/>
  <c r="A100" i="14"/>
  <c r="B99" i="14"/>
  <c r="A99" i="14"/>
  <c r="B95" i="14"/>
  <c r="A95" i="14"/>
  <c r="B92" i="14"/>
  <c r="A92" i="14"/>
  <c r="B89" i="14"/>
  <c r="A89" i="14"/>
  <c r="B88" i="14"/>
  <c r="A88" i="14"/>
  <c r="B87" i="14"/>
  <c r="A87" i="14"/>
  <c r="B86" i="14"/>
  <c r="A86" i="14"/>
  <c r="B85" i="14"/>
  <c r="A85" i="14"/>
  <c r="B84" i="14"/>
  <c r="A84" i="14"/>
  <c r="B83" i="14"/>
  <c r="A83" i="14"/>
  <c r="B82" i="14"/>
  <c r="A82" i="14"/>
  <c r="B81" i="14"/>
  <c r="A81" i="14"/>
  <c r="B80" i="14"/>
  <c r="A80" i="14"/>
  <c r="B79" i="14"/>
  <c r="A79" i="14"/>
  <c r="B78" i="14"/>
  <c r="A78" i="14"/>
  <c r="B77" i="14"/>
  <c r="A77" i="14"/>
  <c r="B76" i="14"/>
  <c r="A76" i="14"/>
  <c r="B75" i="14"/>
  <c r="A75" i="14"/>
  <c r="B74" i="14"/>
  <c r="A74" i="14"/>
  <c r="B73" i="14"/>
  <c r="A73" i="14"/>
  <c r="B72" i="14"/>
  <c r="A72" i="14"/>
  <c r="B71" i="14"/>
  <c r="A71" i="14"/>
  <c r="B68" i="14"/>
  <c r="B49" i="14"/>
  <c r="A49" i="14"/>
  <c r="B48" i="14"/>
  <c r="A48" i="14"/>
  <c r="B47" i="14"/>
  <c r="A47" i="14"/>
  <c r="B46" i="14"/>
  <c r="A46" i="14"/>
  <c r="B45" i="14"/>
  <c r="A45" i="14"/>
  <c r="B44" i="14"/>
  <c r="A44" i="14"/>
  <c r="B43" i="14"/>
  <c r="A43" i="14"/>
  <c r="B42" i="14"/>
  <c r="A42" i="14"/>
  <c r="B41" i="14"/>
  <c r="A41" i="14"/>
  <c r="B40" i="14"/>
  <c r="A40" i="14"/>
  <c r="B38" i="14"/>
  <c r="A38" i="14"/>
  <c r="B39" i="14"/>
  <c r="A39" i="14"/>
  <c r="B37" i="14"/>
  <c r="A37" i="14"/>
  <c r="B36" i="14"/>
  <c r="A36" i="14"/>
  <c r="B35" i="14"/>
  <c r="A35" i="14"/>
  <c r="B34" i="14"/>
  <c r="A34" i="14"/>
  <c r="B33" i="14"/>
  <c r="A33" i="14"/>
  <c r="B32" i="14"/>
  <c r="A32" i="14"/>
  <c r="B31" i="14"/>
  <c r="A31" i="14"/>
  <c r="B30" i="14"/>
  <c r="A30" i="14"/>
  <c r="B29" i="14"/>
  <c r="A29" i="14"/>
  <c r="B28" i="14"/>
  <c r="A28" i="14"/>
  <c r="B27" i="14"/>
  <c r="A27" i="14"/>
  <c r="B25" i="14"/>
  <c r="A25" i="14"/>
  <c r="B24" i="14"/>
  <c r="A24" i="14"/>
  <c r="B23" i="14"/>
  <c r="A23" i="14"/>
  <c r="B22" i="14"/>
  <c r="A22" i="14"/>
  <c r="B21" i="14"/>
  <c r="A21" i="14"/>
  <c r="B20" i="14"/>
  <c r="A20" i="14"/>
  <c r="B19" i="14"/>
  <c r="A19" i="14"/>
  <c r="B17" i="14"/>
  <c r="A17" i="14"/>
  <c r="B18" i="14"/>
  <c r="A18" i="14"/>
  <c r="B16" i="14"/>
  <c r="A16" i="14"/>
  <c r="B15" i="14"/>
  <c r="A15" i="14"/>
  <c r="B14" i="14"/>
  <c r="A14" i="14"/>
  <c r="B13" i="14"/>
  <c r="A13" i="14"/>
  <c r="B12" i="14"/>
  <c r="A12" i="14"/>
  <c r="B11" i="14"/>
  <c r="A11" i="14"/>
  <c r="B10" i="14"/>
  <c r="A10" i="14"/>
  <c r="B9" i="14"/>
  <c r="A9" i="14"/>
  <c r="B6" i="14"/>
  <c r="F49" i="15"/>
  <c r="B7" i="15"/>
  <c r="E3" i="15"/>
  <c r="C4" i="15" s="1"/>
  <c r="I94" i="1"/>
  <c r="I94" i="15" s="1"/>
  <c r="D94" i="1"/>
  <c r="D94" i="15" s="1"/>
  <c r="C94" i="1"/>
  <c r="C94" i="15" s="1"/>
  <c r="B94" i="1"/>
  <c r="B94" i="15" s="1"/>
  <c r="A94" i="1"/>
  <c r="A94" i="15" s="1"/>
  <c r="I93" i="1"/>
  <c r="I93" i="15" s="1"/>
  <c r="D93" i="1"/>
  <c r="D93" i="15" s="1"/>
  <c r="C93" i="1"/>
  <c r="C93" i="15" s="1"/>
  <c r="B93" i="1"/>
  <c r="B93" i="15" s="1"/>
  <c r="A93" i="1"/>
  <c r="A93" i="15" s="1"/>
  <c r="D92" i="1"/>
  <c r="D92" i="15" s="1"/>
  <c r="C92" i="1"/>
  <c r="C92" i="15" s="1"/>
  <c r="B92" i="1"/>
  <c r="B92" i="15" s="1"/>
  <c r="A92" i="1"/>
  <c r="A92" i="15" s="1"/>
  <c r="D90" i="1"/>
  <c r="D90" i="15" s="1"/>
  <c r="C90" i="1"/>
  <c r="C90" i="15" s="1"/>
  <c r="B90" i="1"/>
  <c r="B90" i="15" s="1"/>
  <c r="A90" i="1"/>
  <c r="A90" i="15" s="1"/>
  <c r="I89" i="1"/>
  <c r="I89" i="15" s="1"/>
  <c r="D89" i="1"/>
  <c r="D89" i="15" s="1"/>
  <c r="C89" i="1"/>
  <c r="C89" i="15" s="1"/>
  <c r="B89" i="1"/>
  <c r="B89" i="15" s="1"/>
  <c r="A89" i="1"/>
  <c r="A89" i="15" s="1"/>
  <c r="D88" i="1"/>
  <c r="D88" i="15" s="1"/>
  <c r="C88" i="1"/>
  <c r="C88" i="15" s="1"/>
  <c r="B88" i="1"/>
  <c r="B88" i="15" s="1"/>
  <c r="A88" i="1"/>
  <c r="A88" i="15" s="1"/>
  <c r="D84" i="1"/>
  <c r="D84" i="15" s="1"/>
  <c r="C84" i="1"/>
  <c r="C84" i="15" s="1"/>
  <c r="B84" i="1"/>
  <c r="B84" i="15" s="1"/>
  <c r="A84" i="1"/>
  <c r="A84" i="15" s="1"/>
  <c r="D81" i="1"/>
  <c r="D81" i="15" s="1"/>
  <c r="C81" i="1"/>
  <c r="C81" i="15" s="1"/>
  <c r="B81" i="1"/>
  <c r="B81" i="15" s="1"/>
  <c r="A81" i="1"/>
  <c r="A81" i="15" s="1"/>
  <c r="I78" i="1"/>
  <c r="I78" i="15" s="1"/>
  <c r="D78" i="1"/>
  <c r="D78" i="15" s="1"/>
  <c r="C78" i="1"/>
  <c r="C78" i="15" s="1"/>
  <c r="B78" i="15"/>
  <c r="A78" i="1"/>
  <c r="A78" i="15" s="1"/>
  <c r="D77" i="1"/>
  <c r="D77" i="15" s="1"/>
  <c r="C77" i="1"/>
  <c r="C77" i="15" s="1"/>
  <c r="B77" i="1"/>
  <c r="B77" i="15" s="1"/>
  <c r="A77" i="1"/>
  <c r="A77" i="15" s="1"/>
  <c r="D76" i="1"/>
  <c r="D76" i="15" s="1"/>
  <c r="C76" i="1"/>
  <c r="C76" i="15" s="1"/>
  <c r="B76" i="1"/>
  <c r="B76" i="15" s="1"/>
  <c r="A76" i="1"/>
  <c r="A76" i="15" s="1"/>
  <c r="D75" i="1"/>
  <c r="D75" i="15" s="1"/>
  <c r="C75" i="1"/>
  <c r="C75" i="15" s="1"/>
  <c r="B75" i="1"/>
  <c r="B75" i="15" s="1"/>
  <c r="A75" i="1"/>
  <c r="A75" i="15" s="1"/>
  <c r="I74" i="1"/>
  <c r="I74" i="15" s="1"/>
  <c r="D74" i="1"/>
  <c r="D74" i="15" s="1"/>
  <c r="C74" i="1"/>
  <c r="C74" i="15" s="1"/>
  <c r="B74" i="1"/>
  <c r="B74" i="15" s="1"/>
  <c r="A74" i="1"/>
  <c r="A74" i="15" s="1"/>
  <c r="D73" i="1"/>
  <c r="D73" i="15" s="1"/>
  <c r="C73" i="1"/>
  <c r="C73" i="15" s="1"/>
  <c r="B73" i="1"/>
  <c r="B73" i="15" s="1"/>
  <c r="A73" i="1"/>
  <c r="A73" i="15" s="1"/>
  <c r="D72" i="1"/>
  <c r="D72" i="15" s="1"/>
  <c r="C72" i="1"/>
  <c r="C72" i="15" s="1"/>
  <c r="B72" i="1"/>
  <c r="B72" i="15" s="1"/>
  <c r="A72" i="1"/>
  <c r="A72" i="15" s="1"/>
  <c r="D71" i="1"/>
  <c r="D71" i="15" s="1"/>
  <c r="C71" i="1"/>
  <c r="C71" i="15" s="1"/>
  <c r="B71" i="1"/>
  <c r="B71" i="15" s="1"/>
  <c r="A71" i="1"/>
  <c r="A71" i="15" s="1"/>
  <c r="D70" i="1"/>
  <c r="D70" i="15" s="1"/>
  <c r="C70" i="1"/>
  <c r="C70" i="15" s="1"/>
  <c r="B70" i="1"/>
  <c r="B70" i="15" s="1"/>
  <c r="A70" i="1"/>
  <c r="A70" i="15" s="1"/>
  <c r="D69" i="1"/>
  <c r="D69" i="15" s="1"/>
  <c r="C69" i="1"/>
  <c r="C69" i="15" s="1"/>
  <c r="B69" i="1"/>
  <c r="B69" i="15" s="1"/>
  <c r="A69" i="1"/>
  <c r="A69" i="15" s="1"/>
  <c r="D68" i="1"/>
  <c r="D68" i="15" s="1"/>
  <c r="C68" i="1"/>
  <c r="C68" i="15" s="1"/>
  <c r="B68" i="1"/>
  <c r="B68" i="15" s="1"/>
  <c r="A68" i="1"/>
  <c r="A68" i="15" s="1"/>
  <c r="D67" i="1"/>
  <c r="D67" i="15" s="1"/>
  <c r="C67" i="1"/>
  <c r="C67" i="15" s="1"/>
  <c r="B67" i="1"/>
  <c r="B67" i="15" s="1"/>
  <c r="A67" i="1"/>
  <c r="A67" i="15" s="1"/>
  <c r="I66" i="1"/>
  <c r="I66" i="15" s="1"/>
  <c r="D66" i="1"/>
  <c r="D66" i="15" s="1"/>
  <c r="C66" i="1"/>
  <c r="C66" i="15" s="1"/>
  <c r="B66" i="1"/>
  <c r="B66" i="15" s="1"/>
  <c r="A66" i="1"/>
  <c r="A66" i="15" s="1"/>
  <c r="D65" i="1"/>
  <c r="D65" i="15" s="1"/>
  <c r="C65" i="1"/>
  <c r="C65" i="15" s="1"/>
  <c r="B65" i="1"/>
  <c r="B65" i="15" s="1"/>
  <c r="A65" i="1"/>
  <c r="A65" i="15" s="1"/>
  <c r="D64" i="1"/>
  <c r="D64" i="15" s="1"/>
  <c r="C64" i="1"/>
  <c r="C64" i="15" s="1"/>
  <c r="B64" i="1"/>
  <c r="B64" i="15" s="1"/>
  <c r="A64" i="1"/>
  <c r="A64" i="15" s="1"/>
  <c r="D63" i="1"/>
  <c r="D63" i="15" s="1"/>
  <c r="C63" i="1"/>
  <c r="C63" i="15" s="1"/>
  <c r="B63" i="1"/>
  <c r="B63" i="15" s="1"/>
  <c r="A63" i="1"/>
  <c r="A63" i="15" s="1"/>
  <c r="D62" i="1"/>
  <c r="D62" i="15" s="1"/>
  <c r="C62" i="1"/>
  <c r="C62" i="15" s="1"/>
  <c r="B62" i="1"/>
  <c r="B62" i="15" s="1"/>
  <c r="A62" i="1"/>
  <c r="A62" i="15" s="1"/>
  <c r="I61" i="1"/>
  <c r="I61" i="15" s="1"/>
  <c r="D61" i="1"/>
  <c r="D61" i="15" s="1"/>
  <c r="C61" i="1"/>
  <c r="C61" i="15" s="1"/>
  <c r="B61" i="1"/>
  <c r="B61" i="15" s="1"/>
  <c r="A61" i="1"/>
  <c r="A61" i="15" s="1"/>
  <c r="I60" i="1"/>
  <c r="I60" i="15" s="1"/>
  <c r="D60" i="1"/>
  <c r="D60" i="15" s="1"/>
  <c r="C60" i="1"/>
  <c r="C60" i="15" s="1"/>
  <c r="B60" i="1"/>
  <c r="B60" i="15" s="1"/>
  <c r="A60" i="1"/>
  <c r="A60" i="15" s="1"/>
  <c r="D49" i="1"/>
  <c r="D49" i="15" s="1"/>
  <c r="C49" i="1"/>
  <c r="C49" i="15" s="1"/>
  <c r="B49" i="1"/>
  <c r="B49" i="15" s="1"/>
  <c r="A49" i="1"/>
  <c r="A49" i="15" s="1"/>
  <c r="D48" i="1"/>
  <c r="D48" i="15" s="1"/>
  <c r="C48" i="1"/>
  <c r="C48" i="15" s="1"/>
  <c r="B48" i="1"/>
  <c r="B48" i="15" s="1"/>
  <c r="A48" i="1"/>
  <c r="A48" i="15" s="1"/>
  <c r="I47" i="1"/>
  <c r="I47" i="15" s="1"/>
  <c r="D47" i="1"/>
  <c r="D47" i="15" s="1"/>
  <c r="C47" i="1"/>
  <c r="C47" i="15" s="1"/>
  <c r="B47" i="1"/>
  <c r="B47" i="15" s="1"/>
  <c r="A47" i="1"/>
  <c r="A47" i="15" s="1"/>
  <c r="D46" i="1"/>
  <c r="D46" i="15" s="1"/>
  <c r="C46" i="1"/>
  <c r="C46" i="15" s="1"/>
  <c r="B46" i="1"/>
  <c r="B46" i="15" s="1"/>
  <c r="A46" i="1"/>
  <c r="A46" i="15" s="1"/>
  <c r="D45" i="1"/>
  <c r="D45" i="15" s="1"/>
  <c r="C45" i="1"/>
  <c r="C45" i="15" s="1"/>
  <c r="B45" i="1"/>
  <c r="B45" i="15" s="1"/>
  <c r="A45" i="1"/>
  <c r="A45" i="15" s="1"/>
  <c r="I44" i="1"/>
  <c r="I44" i="15" s="1"/>
  <c r="D44" i="1"/>
  <c r="D44" i="15" s="1"/>
  <c r="C44" i="1"/>
  <c r="C44" i="15" s="1"/>
  <c r="B44" i="1"/>
  <c r="B44" i="15" s="1"/>
  <c r="A44" i="1"/>
  <c r="A44" i="15" s="1"/>
  <c r="D43" i="1"/>
  <c r="D43" i="15" s="1"/>
  <c r="C43" i="1"/>
  <c r="C43" i="15" s="1"/>
  <c r="B43" i="1"/>
  <c r="B43" i="15" s="1"/>
  <c r="A43" i="1"/>
  <c r="A43" i="15" s="1"/>
  <c r="I42" i="1"/>
  <c r="I42" i="15" s="1"/>
  <c r="D42" i="1"/>
  <c r="D42" i="15" s="1"/>
  <c r="C42" i="1"/>
  <c r="C42" i="15" s="1"/>
  <c r="B42" i="1"/>
  <c r="B42" i="15" s="1"/>
  <c r="A42" i="1"/>
  <c r="A42" i="15" s="1"/>
  <c r="I41" i="1"/>
  <c r="I41" i="15" s="1"/>
  <c r="D41" i="1"/>
  <c r="D41" i="15" s="1"/>
  <c r="C41" i="1"/>
  <c r="C41" i="15" s="1"/>
  <c r="B41" i="1"/>
  <c r="B41" i="15" s="1"/>
  <c r="A41" i="1"/>
  <c r="A41" i="15" s="1"/>
  <c r="D40" i="1"/>
  <c r="D40" i="15" s="1"/>
  <c r="C40" i="1"/>
  <c r="C40" i="15" s="1"/>
  <c r="B40" i="1"/>
  <c r="B40" i="15" s="1"/>
  <c r="A40" i="1"/>
  <c r="A40" i="15" s="1"/>
  <c r="D38" i="1"/>
  <c r="D38" i="15" s="1"/>
  <c r="C38" i="1"/>
  <c r="C38" i="15" s="1"/>
  <c r="B38" i="1"/>
  <c r="B38" i="15" s="1"/>
  <c r="A38" i="1"/>
  <c r="A38" i="15" s="1"/>
  <c r="I39" i="1"/>
  <c r="I39" i="15" s="1"/>
  <c r="D39" i="1"/>
  <c r="D39" i="15" s="1"/>
  <c r="C39" i="1"/>
  <c r="C39" i="15" s="1"/>
  <c r="B39" i="1"/>
  <c r="B39" i="15" s="1"/>
  <c r="A39" i="1"/>
  <c r="A39" i="15" s="1"/>
  <c r="D37" i="1"/>
  <c r="D37" i="15" s="1"/>
  <c r="C37" i="1"/>
  <c r="C37" i="15" s="1"/>
  <c r="B37" i="1"/>
  <c r="B37" i="15" s="1"/>
  <c r="A37" i="1"/>
  <c r="A37" i="15" s="1"/>
  <c r="D36" i="1"/>
  <c r="D36" i="15" s="1"/>
  <c r="C36" i="1"/>
  <c r="C36" i="15" s="1"/>
  <c r="B36" i="1"/>
  <c r="B36" i="15" s="1"/>
  <c r="A36" i="1"/>
  <c r="A36" i="15" s="1"/>
  <c r="I35" i="1"/>
  <c r="I35" i="15" s="1"/>
  <c r="D35" i="1"/>
  <c r="D35" i="15" s="1"/>
  <c r="C35" i="1"/>
  <c r="C35" i="15" s="1"/>
  <c r="B35" i="1"/>
  <c r="B35" i="15" s="1"/>
  <c r="A35" i="1"/>
  <c r="A35" i="15" s="1"/>
  <c r="D34" i="1"/>
  <c r="D34" i="15" s="1"/>
  <c r="C34" i="1"/>
  <c r="C34" i="15" s="1"/>
  <c r="B34" i="1"/>
  <c r="B34" i="15" s="1"/>
  <c r="A34" i="1"/>
  <c r="A34" i="15" s="1"/>
  <c r="D33" i="1"/>
  <c r="D33" i="15" s="1"/>
  <c r="C33" i="1"/>
  <c r="C33" i="15" s="1"/>
  <c r="B33" i="1"/>
  <c r="B33" i="15" s="1"/>
  <c r="A33" i="1"/>
  <c r="A33" i="15" s="1"/>
  <c r="D32" i="1"/>
  <c r="D32" i="15" s="1"/>
  <c r="C32" i="1"/>
  <c r="C32" i="15" s="1"/>
  <c r="B32" i="1"/>
  <c r="B32" i="15" s="1"/>
  <c r="A32" i="1"/>
  <c r="A32" i="15" s="1"/>
  <c r="D31" i="1"/>
  <c r="D31" i="15" s="1"/>
  <c r="C31" i="1"/>
  <c r="C31" i="15" s="1"/>
  <c r="B31" i="1"/>
  <c r="B31" i="15" s="1"/>
  <c r="A31" i="1"/>
  <c r="A31" i="15" s="1"/>
  <c r="I30" i="1"/>
  <c r="I30" i="15" s="1"/>
  <c r="D30" i="1"/>
  <c r="D30" i="15" s="1"/>
  <c r="C30" i="1"/>
  <c r="C30" i="15" s="1"/>
  <c r="B30" i="1"/>
  <c r="B30" i="15" s="1"/>
  <c r="A30" i="1"/>
  <c r="A30" i="15" s="1"/>
  <c r="D29" i="1"/>
  <c r="D29" i="15" s="1"/>
  <c r="C29" i="1"/>
  <c r="C29" i="15" s="1"/>
  <c r="B29" i="1"/>
  <c r="B29" i="15" s="1"/>
  <c r="A29" i="1"/>
  <c r="A29" i="15" s="1"/>
  <c r="I28" i="1"/>
  <c r="I28" i="15" s="1"/>
  <c r="D28" i="1"/>
  <c r="D28" i="15" s="1"/>
  <c r="C28" i="1"/>
  <c r="C28" i="15" s="1"/>
  <c r="B28" i="1"/>
  <c r="B28" i="15" s="1"/>
  <c r="A28" i="1"/>
  <c r="A28" i="15" s="1"/>
  <c r="D27" i="1"/>
  <c r="D27" i="15" s="1"/>
  <c r="C27" i="1"/>
  <c r="C27" i="15" s="1"/>
  <c r="B27" i="1"/>
  <c r="B27" i="15" s="1"/>
  <c r="A27" i="1"/>
  <c r="A27" i="15" s="1"/>
  <c r="D25" i="1"/>
  <c r="D25" i="15" s="1"/>
  <c r="C25" i="1"/>
  <c r="C25" i="15" s="1"/>
  <c r="B25" i="1"/>
  <c r="B25" i="15" s="1"/>
  <c r="A25" i="1"/>
  <c r="A25" i="15" s="1"/>
  <c r="D24" i="1"/>
  <c r="D24" i="15" s="1"/>
  <c r="C24" i="1"/>
  <c r="C24" i="15" s="1"/>
  <c r="B24" i="1"/>
  <c r="B24" i="15" s="1"/>
  <c r="A24" i="1"/>
  <c r="A24" i="15" s="1"/>
  <c r="D23" i="1"/>
  <c r="D23" i="15" s="1"/>
  <c r="C23" i="1"/>
  <c r="C23" i="15" s="1"/>
  <c r="B23" i="1"/>
  <c r="B23" i="15" s="1"/>
  <c r="A23" i="1"/>
  <c r="A23" i="15" s="1"/>
  <c r="D22" i="1"/>
  <c r="D22" i="15" s="1"/>
  <c r="C22" i="1"/>
  <c r="C22" i="15" s="1"/>
  <c r="B22" i="1"/>
  <c r="B22" i="15" s="1"/>
  <c r="A22" i="1"/>
  <c r="A22" i="15" s="1"/>
  <c r="D21" i="1"/>
  <c r="D21" i="15" s="1"/>
  <c r="C21" i="1"/>
  <c r="C21" i="15" s="1"/>
  <c r="B21" i="1"/>
  <c r="B21" i="15" s="1"/>
  <c r="A21" i="1"/>
  <c r="A21" i="15" s="1"/>
  <c r="D20" i="1"/>
  <c r="D20" i="15" s="1"/>
  <c r="C20" i="1"/>
  <c r="C20" i="15" s="1"/>
  <c r="B20" i="1"/>
  <c r="B20" i="15" s="1"/>
  <c r="A20" i="1"/>
  <c r="A20" i="15" s="1"/>
  <c r="D19" i="1"/>
  <c r="D19" i="15" s="1"/>
  <c r="C19" i="1"/>
  <c r="C19" i="15" s="1"/>
  <c r="B19" i="1"/>
  <c r="B19" i="15" s="1"/>
  <c r="A19" i="1"/>
  <c r="A19" i="15" s="1"/>
  <c r="I17" i="1"/>
  <c r="I17" i="15" s="1"/>
  <c r="D17" i="1"/>
  <c r="D17" i="15" s="1"/>
  <c r="C17" i="1"/>
  <c r="C17" i="15" s="1"/>
  <c r="B17" i="15"/>
  <c r="A17" i="1"/>
  <c r="A17" i="15" s="1"/>
  <c r="D18" i="1"/>
  <c r="D18" i="15" s="1"/>
  <c r="C18" i="1"/>
  <c r="C18" i="15" s="1"/>
  <c r="B18" i="1"/>
  <c r="B18" i="15" s="1"/>
  <c r="A18" i="1"/>
  <c r="A18" i="15" s="1"/>
  <c r="D16" i="1"/>
  <c r="D16" i="15" s="1"/>
  <c r="C16" i="1"/>
  <c r="C16" i="15" s="1"/>
  <c r="B16" i="1"/>
  <c r="B16" i="15" s="1"/>
  <c r="A16" i="1"/>
  <c r="A16" i="15" s="1"/>
  <c r="I15" i="1"/>
  <c r="I15" i="15" s="1"/>
  <c r="D15" i="1"/>
  <c r="D15" i="15" s="1"/>
  <c r="C15" i="1"/>
  <c r="C15" i="15" s="1"/>
  <c r="B15" i="1"/>
  <c r="B15" i="15" s="1"/>
  <c r="A15" i="1"/>
  <c r="A15" i="15" s="1"/>
  <c r="D14" i="1"/>
  <c r="D14" i="15" s="1"/>
  <c r="C14" i="1"/>
  <c r="C14" i="15" s="1"/>
  <c r="B14" i="1"/>
  <c r="B14" i="15" s="1"/>
  <c r="A14" i="1"/>
  <c r="A14" i="15" s="1"/>
  <c r="I13" i="1"/>
  <c r="I13" i="15" s="1"/>
  <c r="D13" i="1"/>
  <c r="D13" i="15" s="1"/>
  <c r="C13" i="1"/>
  <c r="C13" i="15" s="1"/>
  <c r="B13" i="1"/>
  <c r="B13" i="15" s="1"/>
  <c r="A13" i="1"/>
  <c r="A13" i="15" s="1"/>
  <c r="D12" i="1"/>
  <c r="D12" i="15" s="1"/>
  <c r="C12" i="1"/>
  <c r="C12" i="15" s="1"/>
  <c r="B12" i="1"/>
  <c r="B12" i="15" s="1"/>
  <c r="A12" i="1"/>
  <c r="A12" i="15" s="1"/>
  <c r="I11" i="1"/>
  <c r="I11" i="15" s="1"/>
  <c r="D11" i="1"/>
  <c r="D11" i="15" s="1"/>
  <c r="C11" i="1"/>
  <c r="C11" i="15" s="1"/>
  <c r="B11" i="15"/>
  <c r="A11" i="1"/>
  <c r="A11" i="15" s="1"/>
  <c r="D10" i="1"/>
  <c r="D10" i="15" s="1"/>
  <c r="C10" i="15"/>
  <c r="B10" i="1"/>
  <c r="B10" i="15" s="1"/>
  <c r="A10" i="1"/>
  <c r="A10" i="15" s="1"/>
  <c r="D9" i="1"/>
  <c r="D9" i="15" s="1"/>
  <c r="C9" i="1"/>
  <c r="C9" i="15" s="1"/>
  <c r="B9" i="1"/>
  <c r="B9" i="15" s="1"/>
  <c r="A9" i="1"/>
  <c r="A9" i="15" s="1"/>
  <c r="B7" i="1"/>
  <c r="M82" i="2"/>
  <c r="L82" i="2"/>
  <c r="C103" i="14" s="1"/>
  <c r="M78" i="2"/>
  <c r="L78" i="2"/>
  <c r="L74" i="2"/>
  <c r="C95" i="14" s="1"/>
  <c r="H74" i="2"/>
  <c r="G74" i="2"/>
  <c r="H71" i="2"/>
  <c r="G71" i="2"/>
  <c r="M66" i="2"/>
  <c r="L66" i="2"/>
  <c r="C87" i="14" s="1"/>
  <c r="L65" i="2"/>
  <c r="C86" i="14" s="1"/>
  <c r="J65" i="2"/>
  <c r="H65" i="2"/>
  <c r="G65" i="2"/>
  <c r="L62" i="2"/>
  <c r="I62" i="2"/>
  <c r="L61" i="2"/>
  <c r="L60" i="2"/>
  <c r="L59" i="2"/>
  <c r="M58" i="2"/>
  <c r="C79" i="14" s="1"/>
  <c r="J58" i="2"/>
  <c r="J56" i="2" s="1"/>
  <c r="L57" i="2"/>
  <c r="H56" i="2"/>
  <c r="G56" i="2"/>
  <c r="L55" i="2"/>
  <c r="C76" i="14" s="1"/>
  <c r="I55" i="2"/>
  <c r="L54" i="2"/>
  <c r="C75" i="14" s="1"/>
  <c r="I53" i="2"/>
  <c r="L52" i="2"/>
  <c r="C73" i="14" s="1"/>
  <c r="J50" i="2"/>
  <c r="L48" i="2"/>
  <c r="C48" i="14" s="1"/>
  <c r="I48" i="2"/>
  <c r="G47" i="2"/>
  <c r="L46" i="2"/>
  <c r="C46" i="14" s="1"/>
  <c r="L45" i="2"/>
  <c r="C45" i="14" s="1"/>
  <c r="L43" i="2"/>
  <c r="C43" i="14" s="1"/>
  <c r="M38" i="2"/>
  <c r="L38" i="2"/>
  <c r="J39" i="2"/>
  <c r="H39" i="1" s="1"/>
  <c r="M33" i="2"/>
  <c r="C33" i="14" s="1"/>
  <c r="L32" i="2"/>
  <c r="C32" i="14" s="1"/>
  <c r="L31" i="2"/>
  <c r="C31" i="14" s="1"/>
  <c r="M25" i="2"/>
  <c r="C25" i="14" s="1"/>
  <c r="L24" i="2"/>
  <c r="I24" i="2"/>
  <c r="L23" i="2"/>
  <c r="L22" i="2"/>
  <c r="M21" i="2"/>
  <c r="C21" i="14" s="1"/>
  <c r="I20" i="2"/>
  <c r="G17" i="2"/>
  <c r="B7" i="2"/>
  <c r="C99" i="14" l="1"/>
  <c r="C82" i="14"/>
  <c r="C38" i="14"/>
  <c r="M27" i="2"/>
  <c r="C27" i="14" s="1"/>
  <c r="M26" i="2"/>
  <c r="C26" i="14" s="1"/>
  <c r="M63" i="2"/>
  <c r="G62" i="1"/>
  <c r="G84" i="1"/>
  <c r="G68" i="1"/>
  <c r="H68" i="1" s="1"/>
  <c r="G88" i="1"/>
  <c r="M19" i="2"/>
  <c r="C19" i="14" s="1"/>
  <c r="G64" i="1"/>
  <c r="G75" i="1"/>
  <c r="H75" i="1" s="1"/>
  <c r="G65" i="1"/>
  <c r="AC571" i="22" s="1"/>
  <c r="G76" i="1"/>
  <c r="G92" i="1"/>
  <c r="M16" i="2"/>
  <c r="C16" i="14" s="1"/>
  <c r="G49" i="1"/>
  <c r="AD498" i="22" s="1"/>
  <c r="G21" i="1"/>
  <c r="AC161" i="22" s="1"/>
  <c r="G29" i="1"/>
  <c r="AE255" i="22" s="1"/>
  <c r="G40" i="1"/>
  <c r="G45" i="1"/>
  <c r="AD451" i="22" s="1"/>
  <c r="G33" i="1"/>
  <c r="AC305" i="22" s="1"/>
  <c r="G14" i="1"/>
  <c r="AC79" i="22" s="1"/>
  <c r="G25" i="1"/>
  <c r="AC203" i="22" s="1"/>
  <c r="G34" i="1"/>
  <c r="G37" i="1"/>
  <c r="AD346" i="22" s="1"/>
  <c r="G46" i="1"/>
  <c r="AE455" i="22" s="1"/>
  <c r="G48" i="1"/>
  <c r="F48" i="1" s="1"/>
  <c r="G36" i="1"/>
  <c r="G31" i="1"/>
  <c r="E31" i="1" s="1"/>
  <c r="G38" i="1"/>
  <c r="G43" i="1"/>
  <c r="M59" i="2"/>
  <c r="G69" i="1" s="1"/>
  <c r="M62" i="2"/>
  <c r="C83" i="14" s="1"/>
  <c r="M57" i="2"/>
  <c r="C78" i="14" s="1"/>
  <c r="M61" i="2"/>
  <c r="M60" i="2"/>
  <c r="C81" i="14" s="1"/>
  <c r="P58" i="2"/>
  <c r="M22" i="2"/>
  <c r="C22" i="14" s="1"/>
  <c r="M20" i="2"/>
  <c r="C20" i="14" s="1"/>
  <c r="M23" i="2"/>
  <c r="C23" i="14" s="1"/>
  <c r="P21" i="2"/>
  <c r="M24" i="2"/>
  <c r="C24" i="14" s="1"/>
  <c r="P25" i="2"/>
  <c r="I32" i="2"/>
  <c r="I37" i="2"/>
  <c r="I40" i="2"/>
  <c r="I76" i="1"/>
  <c r="I76" i="15" s="1"/>
  <c r="I45" i="1"/>
  <c r="I45" i="15" s="1"/>
  <c r="I92" i="1"/>
  <c r="I92" i="15" s="1"/>
  <c r="I22" i="2"/>
  <c r="I29" i="2"/>
  <c r="I33" i="2"/>
  <c r="I49" i="1"/>
  <c r="I49" i="15" s="1"/>
  <c r="I54" i="2"/>
  <c r="I60" i="2"/>
  <c r="I10" i="2"/>
  <c r="I14" i="2"/>
  <c r="I23" i="2"/>
  <c r="I38" i="2"/>
  <c r="I61" i="2"/>
  <c r="I27" i="2"/>
  <c r="I12" i="2"/>
  <c r="I45" i="2"/>
  <c r="L67" i="2"/>
  <c r="I78" i="2"/>
  <c r="AC34" i="22"/>
  <c r="AE36" i="22"/>
  <c r="AD37" i="22"/>
  <c r="AC38" i="22"/>
  <c r="AE40" i="22"/>
  <c r="AD41" i="22"/>
  <c r="AC42" i="22"/>
  <c r="AE44" i="22"/>
  <c r="AD45" i="22"/>
  <c r="AD36" i="22"/>
  <c r="AE39" i="22"/>
  <c r="AD44" i="22"/>
  <c r="AD34" i="22"/>
  <c r="AC35" i="22"/>
  <c r="AE37" i="22"/>
  <c r="AD38" i="22"/>
  <c r="AC39" i="22"/>
  <c r="AE41" i="22"/>
  <c r="AD42" i="22"/>
  <c r="AC43" i="22"/>
  <c r="AE45" i="22"/>
  <c r="AC37" i="22"/>
  <c r="AC41" i="22"/>
  <c r="AC45" i="22"/>
  <c r="AE34" i="22"/>
  <c r="AD35" i="22"/>
  <c r="AC36" i="22"/>
  <c r="AE38" i="22"/>
  <c r="AD39" i="22"/>
  <c r="AC40" i="22"/>
  <c r="AE42" i="22"/>
  <c r="AD43" i="22"/>
  <c r="AC44" i="22"/>
  <c r="AE35" i="22"/>
  <c r="AD40" i="22"/>
  <c r="AE43" i="22"/>
  <c r="H66" i="1"/>
  <c r="H60" i="1"/>
  <c r="L63" i="2"/>
  <c r="C84" i="14" s="1"/>
  <c r="F11" i="1"/>
  <c r="H11" i="1"/>
  <c r="E11" i="1"/>
  <c r="I91" i="1"/>
  <c r="I91" i="15" s="1"/>
  <c r="I49" i="2"/>
  <c r="I52" i="2"/>
  <c r="L69" i="2"/>
  <c r="C90" i="14" s="1"/>
  <c r="I82" i="2"/>
  <c r="I12" i="1"/>
  <c r="I12" i="15" s="1"/>
  <c r="I57" i="2"/>
  <c r="I68" i="1"/>
  <c r="I68" i="15" s="1"/>
  <c r="I31" i="1"/>
  <c r="I31" i="15" s="1"/>
  <c r="I43" i="1"/>
  <c r="I43" i="15" s="1"/>
  <c r="I34" i="1"/>
  <c r="I34" i="15" s="1"/>
  <c r="I46" i="1"/>
  <c r="I65" i="1"/>
  <c r="I65" i="15" s="1"/>
  <c r="I14" i="1"/>
  <c r="I14" i="15" s="1"/>
  <c r="I25" i="1"/>
  <c r="I25" i="15" s="1"/>
  <c r="I33" i="1"/>
  <c r="I33" i="15" s="1"/>
  <c r="I36" i="1"/>
  <c r="I36" i="15" s="1"/>
  <c r="I40" i="1"/>
  <c r="I40" i="15" s="1"/>
  <c r="I64" i="1"/>
  <c r="I64" i="15" s="1"/>
  <c r="I37" i="1"/>
  <c r="I37" i="15" s="1"/>
  <c r="I9" i="1"/>
  <c r="I9" i="15" s="1"/>
  <c r="I10" i="1"/>
  <c r="I10" i="15" s="1"/>
  <c r="I18" i="1"/>
  <c r="I18" i="15" s="1"/>
  <c r="I21" i="1"/>
  <c r="I21" i="15" s="1"/>
  <c r="I29" i="1"/>
  <c r="I29" i="15" s="1"/>
  <c r="I34" i="2"/>
  <c r="I38" i="1"/>
  <c r="I38" i="15" s="1"/>
  <c r="I43" i="2"/>
  <c r="I63" i="1"/>
  <c r="I63" i="15" s="1"/>
  <c r="I48" i="1"/>
  <c r="I48" i="15" s="1"/>
  <c r="I62" i="1"/>
  <c r="I62" i="15" s="1"/>
  <c r="I75" i="1"/>
  <c r="I75" i="15" s="1"/>
  <c r="I88" i="1"/>
  <c r="I88" i="15" s="1"/>
  <c r="I90" i="1"/>
  <c r="I90" i="15" s="1"/>
  <c r="L77" i="2"/>
  <c r="C98" i="14" s="1"/>
  <c r="L72" i="2"/>
  <c r="C93" i="14" s="1"/>
  <c r="L70" i="2"/>
  <c r="C91" i="14" s="1"/>
  <c r="I84" i="1"/>
  <c r="I84" i="15" s="1"/>
  <c r="I66" i="2"/>
  <c r="M67" i="2"/>
  <c r="L71" i="2"/>
  <c r="C92" i="14" s="1"/>
  <c r="AE849" i="22"/>
  <c r="AE243" i="22"/>
  <c r="AE271" i="22"/>
  <c r="AC439" i="22"/>
  <c r="AC69" i="22"/>
  <c r="AC513" i="22"/>
  <c r="AE92" i="22"/>
  <c r="G78" i="15"/>
  <c r="AC505" i="22"/>
  <c r="AE64" i="22"/>
  <c r="AC67" i="22"/>
  <c r="AC59" i="22"/>
  <c r="G41" i="15"/>
  <c r="G47" i="15"/>
  <c r="AE60" i="22"/>
  <c r="AC63" i="22"/>
  <c r="AE68" i="22"/>
  <c r="AE263" i="22"/>
  <c r="AC331" i="22"/>
  <c r="AE400" i="22"/>
  <c r="G94" i="15"/>
  <c r="AE897" i="22"/>
  <c r="AD273" i="22"/>
  <c r="AD272" i="22"/>
  <c r="AD271" i="22"/>
  <c r="AD270" i="22"/>
  <c r="AD269" i="22"/>
  <c r="AD268" i="22"/>
  <c r="AD267" i="22"/>
  <c r="AD266" i="22"/>
  <c r="AD265" i="22"/>
  <c r="AD264" i="22"/>
  <c r="AD263" i="22"/>
  <c r="AD262" i="22"/>
  <c r="AC273" i="22"/>
  <c r="AC272" i="22"/>
  <c r="AC271" i="22"/>
  <c r="AC270" i="22"/>
  <c r="AC269" i="22"/>
  <c r="AC268" i="22"/>
  <c r="AC267" i="22"/>
  <c r="AC266" i="22"/>
  <c r="AC265" i="22"/>
  <c r="AC264" i="22"/>
  <c r="AC263" i="22"/>
  <c r="AC262" i="22"/>
  <c r="AE272" i="22"/>
  <c r="AE270" i="22"/>
  <c r="AE268" i="22"/>
  <c r="AE266" i="22"/>
  <c r="AE264" i="22"/>
  <c r="AE262" i="22"/>
  <c r="AD525" i="22"/>
  <c r="AD524" i="22"/>
  <c r="AD523" i="22"/>
  <c r="AE523" i="22"/>
  <c r="AD522" i="22"/>
  <c r="AD521" i="22"/>
  <c r="AD520" i="22"/>
  <c r="AD519" i="22"/>
  <c r="AD518" i="22"/>
  <c r="AD517" i="22"/>
  <c r="AD516" i="22"/>
  <c r="AD515" i="22"/>
  <c r="AD514" i="22"/>
  <c r="AE524" i="22"/>
  <c r="AC523" i="22"/>
  <c r="AC522" i="22"/>
  <c r="AC521" i="22"/>
  <c r="AC520" i="22"/>
  <c r="AC519" i="22"/>
  <c r="AC518" i="22"/>
  <c r="AC517" i="22"/>
  <c r="AC516" i="22"/>
  <c r="AC515" i="22"/>
  <c r="AC514" i="22"/>
  <c r="AE525" i="22"/>
  <c r="AC524" i="22"/>
  <c r="AE521" i="22"/>
  <c r="AE519" i="22"/>
  <c r="AE517" i="22"/>
  <c r="AE515" i="22"/>
  <c r="AE516" i="22"/>
  <c r="AE518" i="22"/>
  <c r="AE520" i="22"/>
  <c r="AE585" i="22"/>
  <c r="AE584" i="22"/>
  <c r="AE583" i="22"/>
  <c r="AE582" i="22"/>
  <c r="AE581" i="22"/>
  <c r="AE580" i="22"/>
  <c r="AE579" i="22"/>
  <c r="AE578" i="22"/>
  <c r="AE577" i="22"/>
  <c r="AE576" i="22"/>
  <c r="AE575" i="22"/>
  <c r="AE574" i="22"/>
  <c r="AD585" i="22"/>
  <c r="AD584" i="22"/>
  <c r="AD583" i="22"/>
  <c r="AD582" i="22"/>
  <c r="AD581" i="22"/>
  <c r="AD580" i="22"/>
  <c r="AD579" i="22"/>
  <c r="AD578" i="22"/>
  <c r="AD577" i="22"/>
  <c r="AD576" i="22"/>
  <c r="AD575" i="22"/>
  <c r="AD574" i="22"/>
  <c r="AC584" i="22"/>
  <c r="AC582" i="22"/>
  <c r="AC580" i="22"/>
  <c r="AC578" i="22"/>
  <c r="AC576" i="22"/>
  <c r="AC574" i="22"/>
  <c r="AC585" i="22"/>
  <c r="AC583" i="22"/>
  <c r="AC581" i="22"/>
  <c r="AC579" i="22"/>
  <c r="AC577" i="22"/>
  <c r="AC575" i="22"/>
  <c r="AD837" i="22"/>
  <c r="AD836" i="22"/>
  <c r="AD835" i="22"/>
  <c r="AD834" i="22"/>
  <c r="AD833" i="22"/>
  <c r="AD832" i="22"/>
  <c r="AD831" i="22"/>
  <c r="AD830" i="22"/>
  <c r="AD829" i="22"/>
  <c r="AD828" i="22"/>
  <c r="AD827" i="22"/>
  <c r="AD826" i="22"/>
  <c r="AC837" i="22"/>
  <c r="AC836" i="22"/>
  <c r="AC835" i="22"/>
  <c r="AC834" i="22"/>
  <c r="AC833" i="22"/>
  <c r="AC832" i="22"/>
  <c r="AC831" i="22"/>
  <c r="AC830" i="22"/>
  <c r="AC829" i="22"/>
  <c r="AC828" i="22"/>
  <c r="AC827" i="22"/>
  <c r="AC826" i="22"/>
  <c r="AE836" i="22"/>
  <c r="AE834" i="22"/>
  <c r="AE832" i="22"/>
  <c r="AE830" i="22"/>
  <c r="AE828" i="22"/>
  <c r="AE826" i="22"/>
  <c r="AE831" i="22"/>
  <c r="AE833" i="22"/>
  <c r="AE835" i="22"/>
  <c r="AE827" i="22"/>
  <c r="AE829" i="22"/>
  <c r="AE837" i="22"/>
  <c r="G15" i="15"/>
  <c r="G39" i="15"/>
  <c r="G61" i="15"/>
  <c r="W8" i="22"/>
  <c r="AC58" i="22"/>
  <c r="AE59" i="22"/>
  <c r="AC62" i="22"/>
  <c r="AE63" i="22"/>
  <c r="AC66" i="22"/>
  <c r="AE67" i="22"/>
  <c r="AE82" i="22"/>
  <c r="AE84" i="22"/>
  <c r="AE86" i="22"/>
  <c r="AE88" i="22"/>
  <c r="AE90" i="22"/>
  <c r="AE245" i="22"/>
  <c r="AE269" i="22"/>
  <c r="AC431" i="22"/>
  <c r="AE472" i="22"/>
  <c r="AE514" i="22"/>
  <c r="AD93" i="22"/>
  <c r="AD92" i="22"/>
  <c r="AD91" i="22"/>
  <c r="AD90" i="22"/>
  <c r="AD89" i="22"/>
  <c r="AD88" i="22"/>
  <c r="AD87" i="22"/>
  <c r="AD86" i="22"/>
  <c r="AD85" i="22"/>
  <c r="AD84" i="22"/>
  <c r="AD83" i="22"/>
  <c r="AD82" i="22"/>
  <c r="AC93" i="22"/>
  <c r="AC92" i="22"/>
  <c r="AC91" i="22"/>
  <c r="AC90" i="22"/>
  <c r="AC89" i="22"/>
  <c r="AC88" i="22"/>
  <c r="AC87" i="22"/>
  <c r="AC86" i="22"/>
  <c r="AC85" i="22"/>
  <c r="AC84" i="22"/>
  <c r="AC83" i="22"/>
  <c r="AC82" i="22"/>
  <c r="AE239" i="22"/>
  <c r="AD333" i="22"/>
  <c r="AC332" i="22"/>
  <c r="AE330" i="22"/>
  <c r="AD329" i="22"/>
  <c r="AC328" i="22"/>
  <c r="AE326" i="22"/>
  <c r="AD325" i="22"/>
  <c r="AC324" i="22"/>
  <c r="AE322" i="22"/>
  <c r="AC333" i="22"/>
  <c r="AE331" i="22"/>
  <c r="AD330" i="22"/>
  <c r="AC329" i="22"/>
  <c r="AE327" i="22"/>
  <c r="AD326" i="22"/>
  <c r="AC325" i="22"/>
  <c r="AE323" i="22"/>
  <c r="AD322" i="22"/>
  <c r="AE332" i="22"/>
  <c r="AD331" i="22"/>
  <c r="AC330" i="22"/>
  <c r="AE328" i="22"/>
  <c r="AD327" i="22"/>
  <c r="AC326" i="22"/>
  <c r="AE324" i="22"/>
  <c r="AD323" i="22"/>
  <c r="AC322" i="22"/>
  <c r="AE329" i="22"/>
  <c r="AD324" i="22"/>
  <c r="AE333" i="22"/>
  <c r="AD328" i="22"/>
  <c r="AC323" i="22"/>
  <c r="AD332" i="22"/>
  <c r="AC327" i="22"/>
  <c r="AE417" i="22"/>
  <c r="AE416" i="22"/>
  <c r="AE415" i="22"/>
  <c r="AE414" i="22"/>
  <c r="AE413" i="22"/>
  <c r="AE412" i="22"/>
  <c r="AE411" i="22"/>
  <c r="AE410" i="22"/>
  <c r="AE409" i="22"/>
  <c r="AE408" i="22"/>
  <c r="AE407" i="22"/>
  <c r="AE406" i="22"/>
  <c r="AD417" i="22"/>
  <c r="AD416" i="22"/>
  <c r="AD415" i="22"/>
  <c r="AD414" i="22"/>
  <c r="AD413" i="22"/>
  <c r="AD412" i="22"/>
  <c r="AD411" i="22"/>
  <c r="AD410" i="22"/>
  <c r="AD409" i="22"/>
  <c r="AD408" i="22"/>
  <c r="AD407" i="22"/>
  <c r="AD406" i="22"/>
  <c r="AC416" i="22"/>
  <c r="AC414" i="22"/>
  <c r="AC412" i="22"/>
  <c r="AC410" i="22"/>
  <c r="AC408" i="22"/>
  <c r="AC406" i="22"/>
  <c r="AC417" i="22"/>
  <c r="AC409" i="22"/>
  <c r="AC411" i="22"/>
  <c r="AC413" i="22"/>
  <c r="AE513" i="22"/>
  <c r="AE512" i="22"/>
  <c r="AE511" i="22"/>
  <c r="AE510" i="22"/>
  <c r="AE509" i="22"/>
  <c r="AE508" i="22"/>
  <c r="AE507" i="22"/>
  <c r="AE506" i="22"/>
  <c r="AE505" i="22"/>
  <c r="AE504" i="22"/>
  <c r="AE503" i="22"/>
  <c r="AE502" i="22"/>
  <c r="AD513" i="22"/>
  <c r="AD512" i="22"/>
  <c r="AD511" i="22"/>
  <c r="AD510" i="22"/>
  <c r="AD509" i="22"/>
  <c r="AD508" i="22"/>
  <c r="AD507" i="22"/>
  <c r="AD506" i="22"/>
  <c r="AD505" i="22"/>
  <c r="AD504" i="22"/>
  <c r="AD503" i="22"/>
  <c r="AD502" i="22"/>
  <c r="AC512" i="22"/>
  <c r="AC510" i="22"/>
  <c r="AC508" i="22"/>
  <c r="AC506" i="22"/>
  <c r="AC504" i="22"/>
  <c r="AC502" i="22"/>
  <c r="AC507" i="22"/>
  <c r="AC509" i="22"/>
  <c r="AC511" i="22"/>
  <c r="AC503" i="22"/>
  <c r="AE681" i="22"/>
  <c r="AE680" i="22"/>
  <c r="AE679" i="22"/>
  <c r="AE678" i="22"/>
  <c r="AC681" i="22"/>
  <c r="AC680" i="22"/>
  <c r="AC679" i="22"/>
  <c r="AC678" i="22"/>
  <c r="AD677" i="22"/>
  <c r="AD676" i="22"/>
  <c r="AD675" i="22"/>
  <c r="AD674" i="22"/>
  <c r="AD673" i="22"/>
  <c r="AD672" i="22"/>
  <c r="AD671" i="22"/>
  <c r="AD670" i="22"/>
  <c r="AD680" i="22"/>
  <c r="AD678" i="22"/>
  <c r="AC677" i="22"/>
  <c r="AC676" i="22"/>
  <c r="AC675" i="22"/>
  <c r="AC674" i="22"/>
  <c r="AC673" i="22"/>
  <c r="AC672" i="22"/>
  <c r="AC671" i="22"/>
  <c r="AC670" i="22"/>
  <c r="AE677" i="22"/>
  <c r="AE675" i="22"/>
  <c r="AE673" i="22"/>
  <c r="AE671" i="22"/>
  <c r="AD679" i="22"/>
  <c r="AD681" i="22"/>
  <c r="AE672" i="22"/>
  <c r="AE674" i="22"/>
  <c r="AE676" i="22"/>
  <c r="AD897" i="22"/>
  <c r="AD896" i="22"/>
  <c r="AD895" i="22"/>
  <c r="AD894" i="22"/>
  <c r="AD893" i="22"/>
  <c r="AD892" i="22"/>
  <c r="AD891" i="22"/>
  <c r="AD890" i="22"/>
  <c r="AD889" i="22"/>
  <c r="AD888" i="22"/>
  <c r="AD887" i="22"/>
  <c r="AD886" i="22"/>
  <c r="AC897" i="22"/>
  <c r="AC896" i="22"/>
  <c r="AC895" i="22"/>
  <c r="AC894" i="22"/>
  <c r="AC893" i="22"/>
  <c r="AC892" i="22"/>
  <c r="AC891" i="22"/>
  <c r="AC890" i="22"/>
  <c r="AC889" i="22"/>
  <c r="AC888" i="22"/>
  <c r="AC887" i="22"/>
  <c r="AC886" i="22"/>
  <c r="AE896" i="22"/>
  <c r="AE894" i="22"/>
  <c r="AE892" i="22"/>
  <c r="AE890" i="22"/>
  <c r="AE888" i="22"/>
  <c r="AE886" i="22"/>
  <c r="AE891" i="22"/>
  <c r="AE893" i="22"/>
  <c r="AE895" i="22"/>
  <c r="AE887" i="22"/>
  <c r="AE889" i="22"/>
  <c r="G13" i="15"/>
  <c r="G30" i="15"/>
  <c r="G44" i="15"/>
  <c r="G60" i="15"/>
  <c r="G74" i="15"/>
  <c r="G93" i="15"/>
  <c r="AE58" i="22"/>
  <c r="AC61" i="22"/>
  <c r="AE62" i="22"/>
  <c r="AC65" i="22"/>
  <c r="AE66" i="22"/>
  <c r="AE267" i="22"/>
  <c r="AC407" i="22"/>
  <c r="AE522" i="22"/>
  <c r="AC525" i="22"/>
  <c r="AD249" i="22"/>
  <c r="AD248" i="22"/>
  <c r="AD247" i="22"/>
  <c r="AD246" i="22"/>
  <c r="AD245" i="22"/>
  <c r="AD244" i="22"/>
  <c r="AD243" i="22"/>
  <c r="AD242" i="22"/>
  <c r="AD241" i="22"/>
  <c r="AD240" i="22"/>
  <c r="AD239" i="22"/>
  <c r="AD238" i="22"/>
  <c r="AC249" i="22"/>
  <c r="AC248" i="22"/>
  <c r="AC247" i="22"/>
  <c r="AC246" i="22"/>
  <c r="AC245" i="22"/>
  <c r="AC244" i="22"/>
  <c r="AC243" i="22"/>
  <c r="AC242" i="22"/>
  <c r="AC241" i="22"/>
  <c r="AC240" i="22"/>
  <c r="AC239" i="22"/>
  <c r="AC238" i="22"/>
  <c r="AE248" i="22"/>
  <c r="AE246" i="22"/>
  <c r="AE244" i="22"/>
  <c r="AE242" i="22"/>
  <c r="AE240" i="22"/>
  <c r="AE238" i="22"/>
  <c r="AE381" i="22"/>
  <c r="AE380" i="22"/>
  <c r="AE379" i="22"/>
  <c r="AE378" i="22"/>
  <c r="AE377" i="22"/>
  <c r="AE376" i="22"/>
  <c r="AE375" i="22"/>
  <c r="AE374" i="22"/>
  <c r="AE373" i="22"/>
  <c r="AE372" i="22"/>
  <c r="AE371" i="22"/>
  <c r="AE370" i="22"/>
  <c r="AC381" i="22"/>
  <c r="AC380" i="22"/>
  <c r="AC379" i="22"/>
  <c r="AC378" i="22"/>
  <c r="AC377" i="22"/>
  <c r="AC376" i="22"/>
  <c r="AC375" i="22"/>
  <c r="AC374" i="22"/>
  <c r="AC373" i="22"/>
  <c r="AC372" i="22"/>
  <c r="AC371" i="22"/>
  <c r="AD380" i="22"/>
  <c r="AD378" i="22"/>
  <c r="AD376" i="22"/>
  <c r="AD374" i="22"/>
  <c r="AD372" i="22"/>
  <c r="AD370" i="22"/>
  <c r="AC370" i="22"/>
  <c r="AD381" i="22"/>
  <c r="AD379" i="22"/>
  <c r="AD377" i="22"/>
  <c r="AD375" i="22"/>
  <c r="AD373" i="22"/>
  <c r="AD371" i="22"/>
  <c r="AE247" i="22"/>
  <c r="AD69" i="22"/>
  <c r="AD68" i="22"/>
  <c r="AD67" i="22"/>
  <c r="AD66" i="22"/>
  <c r="AD65" i="22"/>
  <c r="AD64" i="22"/>
  <c r="AD63" i="22"/>
  <c r="AD62" i="22"/>
  <c r="AD61" i="22"/>
  <c r="AD60" i="22"/>
  <c r="AD59" i="22"/>
  <c r="AD58" i="22"/>
  <c r="AD405" i="22"/>
  <c r="AD404" i="22"/>
  <c r="AD403" i="22"/>
  <c r="AD402" i="22"/>
  <c r="AD401" i="22"/>
  <c r="AD400" i="22"/>
  <c r="AD399" i="22"/>
  <c r="AD398" i="22"/>
  <c r="AD397" i="22"/>
  <c r="AD396" i="22"/>
  <c r="AD395" i="22"/>
  <c r="AD394" i="22"/>
  <c r="AC405" i="22"/>
  <c r="AC404" i="22"/>
  <c r="AC403" i="22"/>
  <c r="AC402" i="22"/>
  <c r="AC401" i="22"/>
  <c r="AC400" i="22"/>
  <c r="AC399" i="22"/>
  <c r="AC398" i="22"/>
  <c r="AC397" i="22"/>
  <c r="AC396" i="22"/>
  <c r="AC395" i="22"/>
  <c r="AC394" i="22"/>
  <c r="AE405" i="22"/>
  <c r="AE403" i="22"/>
  <c r="AE401" i="22"/>
  <c r="AE399" i="22"/>
  <c r="AE397" i="22"/>
  <c r="AE395" i="22"/>
  <c r="AE402" i="22"/>
  <c r="AE394" i="22"/>
  <c r="AE404" i="22"/>
  <c r="AE396" i="22"/>
  <c r="AE398" i="22"/>
  <c r="AE441" i="22"/>
  <c r="AE440" i="22"/>
  <c r="AE439" i="22"/>
  <c r="AE438" i="22"/>
  <c r="AE437" i="22"/>
  <c r="AE436" i="22"/>
  <c r="AE435" i="22"/>
  <c r="AE434" i="22"/>
  <c r="AE433" i="22"/>
  <c r="AE432" i="22"/>
  <c r="AE431" i="22"/>
  <c r="AE430" i="22"/>
  <c r="AD441" i="22"/>
  <c r="AD440" i="22"/>
  <c r="AD439" i="22"/>
  <c r="AD438" i="22"/>
  <c r="AD437" i="22"/>
  <c r="AD436" i="22"/>
  <c r="AD435" i="22"/>
  <c r="AD434" i="22"/>
  <c r="AD433" i="22"/>
  <c r="AD432" i="22"/>
  <c r="AD431" i="22"/>
  <c r="AD430" i="22"/>
  <c r="AC440" i="22"/>
  <c r="AC438" i="22"/>
  <c r="AC436" i="22"/>
  <c r="AC434" i="22"/>
  <c r="AC432" i="22"/>
  <c r="AC430" i="22"/>
  <c r="AC441" i="22"/>
  <c r="AC433" i="22"/>
  <c r="AC435" i="22"/>
  <c r="AC437" i="22"/>
  <c r="AD477" i="22"/>
  <c r="AD476" i="22"/>
  <c r="AD475" i="22"/>
  <c r="AD474" i="22"/>
  <c r="AD473" i="22"/>
  <c r="AD472" i="22"/>
  <c r="AD471" i="22"/>
  <c r="AD470" i="22"/>
  <c r="AD469" i="22"/>
  <c r="AD468" i="22"/>
  <c r="AD467" i="22"/>
  <c r="AD466" i="22"/>
  <c r="AC477" i="22"/>
  <c r="AC476" i="22"/>
  <c r="AC475" i="22"/>
  <c r="AC474" i="22"/>
  <c r="AC473" i="22"/>
  <c r="AC472" i="22"/>
  <c r="AC471" i="22"/>
  <c r="AC470" i="22"/>
  <c r="AC469" i="22"/>
  <c r="AC468" i="22"/>
  <c r="AC467" i="22"/>
  <c r="AC466" i="22"/>
  <c r="AE477" i="22"/>
  <c r="AE475" i="22"/>
  <c r="AE473" i="22"/>
  <c r="AE471" i="22"/>
  <c r="AE469" i="22"/>
  <c r="AE467" i="22"/>
  <c r="AE474" i="22"/>
  <c r="AE466" i="22"/>
  <c r="AE476" i="22"/>
  <c r="AE468" i="22"/>
  <c r="AE470" i="22"/>
  <c r="AE729" i="22"/>
  <c r="AE728" i="22"/>
  <c r="AE727" i="22"/>
  <c r="AE726" i="22"/>
  <c r="AE725" i="22"/>
  <c r="AE724" i="22"/>
  <c r="AE723" i="22"/>
  <c r="AE722" i="22"/>
  <c r="AE721" i="22"/>
  <c r="AE720" i="22"/>
  <c r="AE719" i="22"/>
  <c r="AE718" i="22"/>
  <c r="AD729" i="22"/>
  <c r="AD728" i="22"/>
  <c r="AD727" i="22"/>
  <c r="AD726" i="22"/>
  <c r="AD725" i="22"/>
  <c r="AD724" i="22"/>
  <c r="AD723" i="22"/>
  <c r="AD722" i="22"/>
  <c r="AD721" i="22"/>
  <c r="AD720" i="22"/>
  <c r="AD719" i="22"/>
  <c r="AD718" i="22"/>
  <c r="AC729" i="22"/>
  <c r="AC728" i="22"/>
  <c r="AC727" i="22"/>
  <c r="AC726" i="22"/>
  <c r="AC725" i="22"/>
  <c r="AC724" i="22"/>
  <c r="AC723" i="22"/>
  <c r="AC722" i="22"/>
  <c r="AC721" i="22"/>
  <c r="AC720" i="22"/>
  <c r="AC719" i="22"/>
  <c r="AC718" i="22"/>
  <c r="AE885" i="22"/>
  <c r="AE884" i="22"/>
  <c r="AE883" i="22"/>
  <c r="AE882" i="22"/>
  <c r="AE881" i="22"/>
  <c r="AE880" i="22"/>
  <c r="AE879" i="22"/>
  <c r="AE878" i="22"/>
  <c r="AE877" i="22"/>
  <c r="AE876" i="22"/>
  <c r="AE875" i="22"/>
  <c r="AE874" i="22"/>
  <c r="AD885" i="22"/>
  <c r="AD884" i="22"/>
  <c r="AD883" i="22"/>
  <c r="AD882" i="22"/>
  <c r="AD881" i="22"/>
  <c r="AD880" i="22"/>
  <c r="AD879" i="22"/>
  <c r="AD878" i="22"/>
  <c r="AD877" i="22"/>
  <c r="AD876" i="22"/>
  <c r="AD875" i="22"/>
  <c r="AD874" i="22"/>
  <c r="AC885" i="22"/>
  <c r="AC883" i="22"/>
  <c r="AC881" i="22"/>
  <c r="AC879" i="22"/>
  <c r="AC877" i="22"/>
  <c r="AC875" i="22"/>
  <c r="AC884" i="22"/>
  <c r="AC876" i="22"/>
  <c r="AC878" i="22"/>
  <c r="AC880" i="22"/>
  <c r="AC882" i="22"/>
  <c r="AC874" i="22"/>
  <c r="G11" i="15"/>
  <c r="G28" i="15"/>
  <c r="G35" i="15"/>
  <c r="G42" i="15"/>
  <c r="G66" i="15"/>
  <c r="G89" i="15"/>
  <c r="AC60" i="22"/>
  <c r="AE61" i="22"/>
  <c r="AC64" i="22"/>
  <c r="AE65" i="22"/>
  <c r="AC68" i="22"/>
  <c r="AE69" i="22"/>
  <c r="AE83" i="22"/>
  <c r="AE85" i="22"/>
  <c r="AE87" i="22"/>
  <c r="AE89" i="22"/>
  <c r="AE91" i="22"/>
  <c r="AE93" i="22"/>
  <c r="AE241" i="22"/>
  <c r="AE249" i="22"/>
  <c r="AE265" i="22"/>
  <c r="AE273" i="22"/>
  <c r="AE325" i="22"/>
  <c r="AC415" i="22"/>
  <c r="AE670" i="22"/>
  <c r="C80" i="14" l="1"/>
  <c r="C88" i="14"/>
  <c r="G27" i="1"/>
  <c r="AD234" i="22" s="1"/>
  <c r="I27" i="1"/>
  <c r="I27" i="15" s="1"/>
  <c r="I67" i="2"/>
  <c r="I26" i="1"/>
  <c r="I26" i="15" s="1"/>
  <c r="G26" i="1"/>
  <c r="E36" i="1"/>
  <c r="E36" i="15" s="1"/>
  <c r="F36" i="1"/>
  <c r="F36" i="15" s="1"/>
  <c r="AC815" i="22"/>
  <c r="AC816" i="22"/>
  <c r="AC817" i="22"/>
  <c r="AC818" i="22"/>
  <c r="AC819" i="22"/>
  <c r="AC820" i="22"/>
  <c r="AC821" i="22"/>
  <c r="AC822" i="22"/>
  <c r="AC823" i="22"/>
  <c r="AC824" i="22"/>
  <c r="AC825" i="22"/>
  <c r="AE814" i="22"/>
  <c r="AD815" i="22"/>
  <c r="AD816" i="22"/>
  <c r="AD817" i="22"/>
  <c r="AD818" i="22"/>
  <c r="AD819" i="22"/>
  <c r="AD820" i="22"/>
  <c r="AD821" i="22"/>
  <c r="AD822" i="22"/>
  <c r="AD823" i="22"/>
  <c r="AD824" i="22"/>
  <c r="AD825" i="22"/>
  <c r="AD814" i="22"/>
  <c r="AE815" i="22"/>
  <c r="AE816" i="22"/>
  <c r="AE817" i="22"/>
  <c r="AE818" i="22"/>
  <c r="AE819" i="22"/>
  <c r="AE820" i="22"/>
  <c r="AE821" i="22"/>
  <c r="AE822" i="22"/>
  <c r="AE823" i="22"/>
  <c r="AE824" i="22"/>
  <c r="AE825" i="22"/>
  <c r="AC814" i="22"/>
  <c r="L76" i="2"/>
  <c r="C97" i="14" s="1"/>
  <c r="G82" i="1"/>
  <c r="G79" i="1"/>
  <c r="P24" i="2"/>
  <c r="P20" i="2"/>
  <c r="G70" i="1"/>
  <c r="AE631" i="22" s="1"/>
  <c r="G71" i="1"/>
  <c r="G87" i="1"/>
  <c r="G73" i="1"/>
  <c r="P62" i="2"/>
  <c r="G72" i="1"/>
  <c r="AC655" i="22" s="1"/>
  <c r="G81" i="1"/>
  <c r="G80" i="1"/>
  <c r="G77" i="1"/>
  <c r="AE713" i="22" s="1"/>
  <c r="G23" i="1"/>
  <c r="AD185" i="22" s="1"/>
  <c r="P59" i="2"/>
  <c r="G32" i="1"/>
  <c r="AC287" i="22" s="1"/>
  <c r="G67" i="1"/>
  <c r="AD596" i="22" s="1"/>
  <c r="I16" i="1"/>
  <c r="I16" i="15" s="1"/>
  <c r="G22" i="1"/>
  <c r="G24" i="1"/>
  <c r="E24" i="1" s="1"/>
  <c r="G20" i="1"/>
  <c r="AC152" i="22" s="1"/>
  <c r="E68" i="1"/>
  <c r="E68" i="15" s="1"/>
  <c r="F68" i="1"/>
  <c r="F68" i="15" s="1"/>
  <c r="I24" i="1"/>
  <c r="I24" i="15" s="1"/>
  <c r="E84" i="1"/>
  <c r="AD535" i="22"/>
  <c r="I23" i="1"/>
  <c r="I23" i="15" s="1"/>
  <c r="AE278" i="22"/>
  <c r="AC526" i="22"/>
  <c r="AE537" i="22"/>
  <c r="AE213" i="22"/>
  <c r="AC284" i="22"/>
  <c r="AE844" i="22"/>
  <c r="AD285" i="22"/>
  <c r="H31" i="1"/>
  <c r="AC529" i="22"/>
  <c r="AE212" i="22"/>
  <c r="AD527" i="22"/>
  <c r="AC847" i="22"/>
  <c r="AD840" i="22"/>
  <c r="AE840" i="22"/>
  <c r="F31" i="1"/>
  <c r="AC543" i="22"/>
  <c r="AD844" i="22"/>
  <c r="AC844" i="22"/>
  <c r="AE848" i="22"/>
  <c r="AE697" i="22"/>
  <c r="AC839" i="22"/>
  <c r="AD848" i="22"/>
  <c r="AD563" i="22"/>
  <c r="AC771" i="22"/>
  <c r="AE569" i="22"/>
  <c r="AC563" i="22"/>
  <c r="AD567" i="22"/>
  <c r="AD775" i="22"/>
  <c r="AE564" i="22"/>
  <c r="AC567" i="22"/>
  <c r="AD571" i="22"/>
  <c r="AE572" i="22"/>
  <c r="AE769" i="22"/>
  <c r="AC697" i="22"/>
  <c r="AE705" i="22"/>
  <c r="AE771" i="22"/>
  <c r="AC775" i="22"/>
  <c r="AE531" i="22"/>
  <c r="AE529" i="22"/>
  <c r="AD530" i="22"/>
  <c r="AE532" i="22"/>
  <c r="AC705" i="22"/>
  <c r="AE772" i="22"/>
  <c r="AD767" i="22"/>
  <c r="AC533" i="22"/>
  <c r="AC532" i="22"/>
  <c r="AD531" i="22"/>
  <c r="AE533" i="22"/>
  <c r="F84" i="1"/>
  <c r="AD701" i="22"/>
  <c r="AC767" i="22"/>
  <c r="AD771" i="22"/>
  <c r="AC531" i="22"/>
  <c r="AE526" i="22"/>
  <c r="AD526" i="22"/>
  <c r="AD534" i="22"/>
  <c r="AE536" i="22"/>
  <c r="AE767" i="22"/>
  <c r="AE766" i="22"/>
  <c r="AE774" i="22"/>
  <c r="AC768" i="22"/>
  <c r="AC772" i="22"/>
  <c r="AC776" i="22"/>
  <c r="AD768" i="22"/>
  <c r="AD772" i="22"/>
  <c r="AD776" i="22"/>
  <c r="AE775" i="22"/>
  <c r="AE768" i="22"/>
  <c r="AE776" i="22"/>
  <c r="AC769" i="22"/>
  <c r="AC773" i="22"/>
  <c r="AC777" i="22"/>
  <c r="AD769" i="22"/>
  <c r="AD773" i="22"/>
  <c r="AD777" i="22"/>
  <c r="G84" i="15"/>
  <c r="AE777" i="22"/>
  <c r="AE773" i="22"/>
  <c r="AE770" i="22"/>
  <c r="AC766" i="22"/>
  <c r="AC770" i="22"/>
  <c r="AC774" i="22"/>
  <c r="AD766" i="22"/>
  <c r="AD770" i="22"/>
  <c r="AD774" i="22"/>
  <c r="AE540" i="22"/>
  <c r="AD547" i="22"/>
  <c r="AE203" i="22"/>
  <c r="AE548" i="22"/>
  <c r="AC547" i="22"/>
  <c r="AE211" i="22"/>
  <c r="AD205" i="22"/>
  <c r="AE204" i="22"/>
  <c r="AE545" i="22"/>
  <c r="AD539" i="22"/>
  <c r="AC209" i="22"/>
  <c r="AD209" i="22"/>
  <c r="AC539" i="22"/>
  <c r="AD543" i="22"/>
  <c r="AE205" i="22"/>
  <c r="AD213" i="22"/>
  <c r="AE542" i="22"/>
  <c r="AE539" i="22"/>
  <c r="AE547" i="22"/>
  <c r="AC540" i="22"/>
  <c r="AC544" i="22"/>
  <c r="AC548" i="22"/>
  <c r="AD540" i="22"/>
  <c r="AD544" i="22"/>
  <c r="AD548" i="22"/>
  <c r="AC206" i="22"/>
  <c r="AE202" i="22"/>
  <c r="AE210" i="22"/>
  <c r="AC208" i="22"/>
  <c r="AD202" i="22"/>
  <c r="AD206" i="22"/>
  <c r="AD210" i="22"/>
  <c r="G63" i="15"/>
  <c r="AC54" i="22"/>
  <c r="AE544" i="22"/>
  <c r="AE541" i="22"/>
  <c r="AE549" i="22"/>
  <c r="AC541" i="22"/>
  <c r="AC545" i="22"/>
  <c r="AC549" i="22"/>
  <c r="AD541" i="22"/>
  <c r="AD545" i="22"/>
  <c r="AD549" i="22"/>
  <c r="AE207" i="22"/>
  <c r="AC205" i="22"/>
  <c r="AC213" i="22"/>
  <c r="AE209" i="22"/>
  <c r="AD203" i="22"/>
  <c r="AD207" i="22"/>
  <c r="AD211" i="22"/>
  <c r="AE52" i="22"/>
  <c r="AC425" i="22"/>
  <c r="AE538" i="22"/>
  <c r="AE546" i="22"/>
  <c r="AE543" i="22"/>
  <c r="AC538" i="22"/>
  <c r="AC542" i="22"/>
  <c r="AC546" i="22"/>
  <c r="AD538" i="22"/>
  <c r="AD542" i="22"/>
  <c r="AD546" i="22"/>
  <c r="AC202" i="22"/>
  <c r="AC210" i="22"/>
  <c r="AE206" i="22"/>
  <c r="AC204" i="22"/>
  <c r="AC212" i="22"/>
  <c r="AD204" i="22"/>
  <c r="AD208" i="22"/>
  <c r="AD212" i="22"/>
  <c r="AC207" i="22"/>
  <c r="G62" i="15"/>
  <c r="AE528" i="22"/>
  <c r="AC530" i="22"/>
  <c r="AC537" i="22"/>
  <c r="AC528" i="22"/>
  <c r="AC536" i="22"/>
  <c r="AD529" i="22"/>
  <c r="AD533" i="22"/>
  <c r="AD537" i="22"/>
  <c r="AE535" i="22"/>
  <c r="AC527" i="22"/>
  <c r="AE527" i="22"/>
  <c r="AC535" i="22"/>
  <c r="AE530" i="22"/>
  <c r="AC534" i="22"/>
  <c r="AD528" i="22"/>
  <c r="AD532" i="22"/>
  <c r="AD536" i="22"/>
  <c r="AE534" i="22"/>
  <c r="E65" i="1"/>
  <c r="E65" i="15" s="1"/>
  <c r="F65" i="1"/>
  <c r="F65" i="15" s="1"/>
  <c r="AE566" i="22"/>
  <c r="AE563" i="22"/>
  <c r="AE571" i="22"/>
  <c r="AC564" i="22"/>
  <c r="AC568" i="22"/>
  <c r="AC572" i="22"/>
  <c r="AD564" i="22"/>
  <c r="AD568" i="22"/>
  <c r="AD572" i="22"/>
  <c r="H21" i="1"/>
  <c r="F21" i="1"/>
  <c r="F21" i="15" s="1"/>
  <c r="E21" i="1"/>
  <c r="H25" i="1"/>
  <c r="F25" i="1"/>
  <c r="F25" i="15" s="1"/>
  <c r="E25" i="1"/>
  <c r="AE568" i="22"/>
  <c r="AE565" i="22"/>
  <c r="AE573" i="22"/>
  <c r="AC565" i="22"/>
  <c r="AC569" i="22"/>
  <c r="AC573" i="22"/>
  <c r="AD565" i="22"/>
  <c r="AD569" i="22"/>
  <c r="AD573" i="22"/>
  <c r="AE562" i="22"/>
  <c r="AE570" i="22"/>
  <c r="AE567" i="22"/>
  <c r="AC562" i="22"/>
  <c r="AC566" i="22"/>
  <c r="AC570" i="22"/>
  <c r="AD562" i="22"/>
  <c r="AD566" i="22"/>
  <c r="AD570" i="22"/>
  <c r="I81" i="2"/>
  <c r="AC56" i="22"/>
  <c r="AD52" i="22"/>
  <c r="AD387" i="22"/>
  <c r="AE14" i="22"/>
  <c r="AC393" i="22"/>
  <c r="AC838" i="22"/>
  <c r="AC840" i="22"/>
  <c r="AC843" i="22"/>
  <c r="AD838" i="22"/>
  <c r="AD842" i="22"/>
  <c r="AD846" i="22"/>
  <c r="AE838" i="22"/>
  <c r="AE842" i="22"/>
  <c r="AE846" i="22"/>
  <c r="AC846" i="22"/>
  <c r="AC848" i="22"/>
  <c r="AC845" i="22"/>
  <c r="AD839" i="22"/>
  <c r="AD843" i="22"/>
  <c r="AD847" i="22"/>
  <c r="AE839" i="22"/>
  <c r="AE843" i="22"/>
  <c r="AE847" i="22"/>
  <c r="AC842" i="22"/>
  <c r="AC841" i="22"/>
  <c r="AC849" i="22"/>
  <c r="AD841" i="22"/>
  <c r="AD845" i="22"/>
  <c r="AD849" i="22"/>
  <c r="AE841" i="22"/>
  <c r="AE845" i="22"/>
  <c r="AE19" i="22"/>
  <c r="AC16" i="22"/>
  <c r="AE383" i="22"/>
  <c r="AD391" i="22"/>
  <c r="AC46" i="22"/>
  <c r="AC392" i="22"/>
  <c r="AE387" i="22"/>
  <c r="AD21" i="22"/>
  <c r="AE16" i="22"/>
  <c r="AD13" i="22"/>
  <c r="AC389" i="22"/>
  <c r="AD383" i="22"/>
  <c r="AE391" i="22"/>
  <c r="AE21" i="22"/>
  <c r="AE13" i="22"/>
  <c r="AC21" i="22"/>
  <c r="AC13" i="22"/>
  <c r="AC387" i="22"/>
  <c r="AC383" i="22"/>
  <c r="AC386" i="22"/>
  <c r="AE382" i="22"/>
  <c r="AD384" i="22"/>
  <c r="AD388" i="22"/>
  <c r="AD392" i="22"/>
  <c r="AE388" i="22"/>
  <c r="AE392" i="22"/>
  <c r="AD16" i="22"/>
  <c r="AC18" i="22"/>
  <c r="AC311" i="22"/>
  <c r="AC11" i="22"/>
  <c r="AE18" i="22"/>
  <c r="AE10" i="22"/>
  <c r="G40" i="15"/>
  <c r="AE384" i="22"/>
  <c r="AC388" i="22"/>
  <c r="AC385" i="22"/>
  <c r="AD385" i="22"/>
  <c r="AD389" i="22"/>
  <c r="AD393" i="22"/>
  <c r="AE389" i="22"/>
  <c r="AE393" i="22"/>
  <c r="AD17" i="22"/>
  <c r="AE15" i="22"/>
  <c r="AE319" i="22"/>
  <c r="AC20" i="22"/>
  <c r="AC12" i="22"/>
  <c r="AE17" i="22"/>
  <c r="AC17" i="22"/>
  <c r="G9" i="15"/>
  <c r="AC384" i="22"/>
  <c r="AE385" i="22"/>
  <c r="AC382" i="22"/>
  <c r="AC390" i="22"/>
  <c r="AD382" i="22"/>
  <c r="AD386" i="22"/>
  <c r="AD390" i="22"/>
  <c r="AE386" i="22"/>
  <c r="AE390" i="22"/>
  <c r="AD12" i="22"/>
  <c r="AD20" i="22"/>
  <c r="AC10" i="22"/>
  <c r="AE51" i="22"/>
  <c r="AC700" i="22"/>
  <c r="AD696" i="22"/>
  <c r="AD704" i="22"/>
  <c r="AE700" i="22"/>
  <c r="AC51" i="22"/>
  <c r="AD53" i="22"/>
  <c r="AE49" i="22"/>
  <c r="G12" i="15"/>
  <c r="AC50" i="22"/>
  <c r="AC701" i="22"/>
  <c r="AD697" i="22"/>
  <c r="AD705" i="22"/>
  <c r="AE701" i="22"/>
  <c r="AE56" i="22"/>
  <c r="AE48" i="22"/>
  <c r="AD48" i="22"/>
  <c r="AD56" i="22"/>
  <c r="AC48" i="22"/>
  <c r="AE54" i="22"/>
  <c r="AE55" i="22"/>
  <c r="AE47" i="22"/>
  <c r="AC696" i="22"/>
  <c r="AC704" i="22"/>
  <c r="AD700" i="22"/>
  <c r="AE696" i="22"/>
  <c r="AE704" i="22"/>
  <c r="AC55" i="22"/>
  <c r="AC47" i="22"/>
  <c r="AC421" i="22"/>
  <c r="AD49" i="22"/>
  <c r="AD57" i="22"/>
  <c r="AC49" i="22"/>
  <c r="AE57" i="22"/>
  <c r="AC336" i="22"/>
  <c r="I46" i="15"/>
  <c r="AE156" i="22"/>
  <c r="AE479" i="22"/>
  <c r="F48" i="15"/>
  <c r="AE165" i="22"/>
  <c r="AC864" i="22"/>
  <c r="AD161" i="22"/>
  <c r="AC605" i="22"/>
  <c r="AC460" i="22"/>
  <c r="AC489" i="22"/>
  <c r="AC358" i="22"/>
  <c r="AE155" i="22"/>
  <c r="AD487" i="22"/>
  <c r="AC159" i="22"/>
  <c r="AD163" i="22"/>
  <c r="AD159" i="22"/>
  <c r="AD155" i="22"/>
  <c r="AE161" i="22"/>
  <c r="AC165" i="22"/>
  <c r="AC157" i="22"/>
  <c r="AE159" i="22"/>
  <c r="AD162" i="22"/>
  <c r="AD158" i="22"/>
  <c r="AD154" i="22"/>
  <c r="AC160" i="22"/>
  <c r="AE162" i="22"/>
  <c r="AE154" i="22"/>
  <c r="AC158" i="22"/>
  <c r="AE462" i="22"/>
  <c r="AE458" i="22"/>
  <c r="AE454" i="22"/>
  <c r="AD462" i="22"/>
  <c r="AD458" i="22"/>
  <c r="AD454" i="22"/>
  <c r="AC458" i="22"/>
  <c r="AC457" i="22"/>
  <c r="G46" i="15"/>
  <c r="AE460" i="22"/>
  <c r="AD464" i="22"/>
  <c r="AD456" i="22"/>
  <c r="AC454" i="22"/>
  <c r="AE465" i="22"/>
  <c r="AE461" i="22"/>
  <c r="AE457" i="22"/>
  <c r="AD465" i="22"/>
  <c r="AD461" i="22"/>
  <c r="AD457" i="22"/>
  <c r="AC464" i="22"/>
  <c r="AC456" i="22"/>
  <c r="AC459" i="22"/>
  <c r="AE464" i="22"/>
  <c r="AE456" i="22"/>
  <c r="AD460" i="22"/>
  <c r="AC462" i="22"/>
  <c r="AC461" i="22"/>
  <c r="AC463" i="22"/>
  <c r="AC455" i="22"/>
  <c r="AC608" i="22"/>
  <c r="AC604" i="22"/>
  <c r="AC600" i="22"/>
  <c r="G68" i="15"/>
  <c r="AC607" i="22"/>
  <c r="AC603" i="22"/>
  <c r="AC599" i="22"/>
  <c r="I69" i="2"/>
  <c r="AC162" i="22"/>
  <c r="AC156" i="22"/>
  <c r="AD156" i="22"/>
  <c r="AD164" i="22"/>
  <c r="AC598" i="22"/>
  <c r="AC606" i="22"/>
  <c r="AD455" i="22"/>
  <c r="AE459" i="22"/>
  <c r="AC872" i="22"/>
  <c r="AC484" i="22"/>
  <c r="AE486" i="22"/>
  <c r="AE482" i="22"/>
  <c r="AE478" i="22"/>
  <c r="AD486" i="22"/>
  <c r="AD482" i="22"/>
  <c r="AD478" i="22"/>
  <c r="AC482" i="22"/>
  <c r="AC481" i="22"/>
  <c r="G48" i="15"/>
  <c r="AE489" i="22"/>
  <c r="AE485" i="22"/>
  <c r="AE481" i="22"/>
  <c r="AD489" i="22"/>
  <c r="AD485" i="22"/>
  <c r="AD481" i="22"/>
  <c r="AC488" i="22"/>
  <c r="AC480" i="22"/>
  <c r="AC479" i="22"/>
  <c r="AE488" i="22"/>
  <c r="AE484" i="22"/>
  <c r="AE480" i="22"/>
  <c r="AD488" i="22"/>
  <c r="AD484" i="22"/>
  <c r="AD480" i="22"/>
  <c r="AC486" i="22"/>
  <c r="AC478" i="22"/>
  <c r="AC483" i="22"/>
  <c r="AE163" i="22"/>
  <c r="AE157" i="22"/>
  <c r="AD157" i="22"/>
  <c r="AD165" i="22"/>
  <c r="AC601" i="22"/>
  <c r="AC609" i="22"/>
  <c r="AD459" i="22"/>
  <c r="AE463" i="22"/>
  <c r="AD868" i="22"/>
  <c r="AD479" i="22"/>
  <c r="AE483" i="22"/>
  <c r="AD873" i="22"/>
  <c r="AD865" i="22"/>
  <c r="AC869" i="22"/>
  <c r="AE872" i="22"/>
  <c r="AE871" i="22"/>
  <c r="AD872" i="22"/>
  <c r="AD864" i="22"/>
  <c r="AC868" i="22"/>
  <c r="AE870" i="22"/>
  <c r="AE863" i="22"/>
  <c r="G92" i="15"/>
  <c r="AD869" i="22"/>
  <c r="AC873" i="22"/>
  <c r="AC865" i="22"/>
  <c r="AE864" i="22"/>
  <c r="AC367" i="22"/>
  <c r="AE367" i="22"/>
  <c r="AD368" i="22"/>
  <c r="AC366" i="22"/>
  <c r="AE362" i="22"/>
  <c r="AD358" i="22"/>
  <c r="G38" i="15"/>
  <c r="AC363" i="22"/>
  <c r="AE359" i="22"/>
  <c r="AC154" i="22"/>
  <c r="AE158" i="22"/>
  <c r="AC164" i="22"/>
  <c r="AD160" i="22"/>
  <c r="AC602" i="22"/>
  <c r="AC465" i="22"/>
  <c r="AD463" i="22"/>
  <c r="AE862" i="22"/>
  <c r="AC485" i="22"/>
  <c r="AD483" i="22"/>
  <c r="AE487" i="22"/>
  <c r="AD363" i="22"/>
  <c r="AC487" i="22"/>
  <c r="G91" i="15"/>
  <c r="I79" i="1"/>
  <c r="I79" i="15" s="1"/>
  <c r="AE494" i="22"/>
  <c r="AE426" i="22"/>
  <c r="AD420" i="22"/>
  <c r="AC277" i="22"/>
  <c r="AD315" i="22"/>
  <c r="AC280" i="22"/>
  <c r="AE425" i="22"/>
  <c r="AD424" i="22"/>
  <c r="AD274" i="22"/>
  <c r="AD320" i="22"/>
  <c r="AE428" i="22"/>
  <c r="AC420" i="22"/>
  <c r="AD419" i="22"/>
  <c r="AD429" i="22"/>
  <c r="AD282" i="22"/>
  <c r="AE865" i="22"/>
  <c r="AE867" i="22"/>
  <c r="AE868" i="22"/>
  <c r="AC863" i="22"/>
  <c r="AC867" i="22"/>
  <c r="AC871" i="22"/>
  <c r="AD863" i="22"/>
  <c r="AD867" i="22"/>
  <c r="AD871" i="22"/>
  <c r="AD312" i="22"/>
  <c r="AE316" i="22"/>
  <c r="AD366" i="22"/>
  <c r="AE358" i="22"/>
  <c r="AE366" i="22"/>
  <c r="AC362" i="22"/>
  <c r="AE427" i="22"/>
  <c r="AC427" i="22"/>
  <c r="AD425" i="22"/>
  <c r="AD277" i="22"/>
  <c r="AE281" i="22"/>
  <c r="AE873" i="22"/>
  <c r="AE869" i="22"/>
  <c r="AE866" i="22"/>
  <c r="AC862" i="22"/>
  <c r="AC866" i="22"/>
  <c r="AC870" i="22"/>
  <c r="AD862" i="22"/>
  <c r="AD866" i="22"/>
  <c r="AD870" i="22"/>
  <c r="AC312" i="22"/>
  <c r="AE311" i="22"/>
  <c r="AD360" i="22"/>
  <c r="AD365" i="22"/>
  <c r="AE363" i="22"/>
  <c r="AC359" i="22"/>
  <c r="AC282" i="22"/>
  <c r="AC694" i="22"/>
  <c r="AC698" i="22"/>
  <c r="AC702" i="22"/>
  <c r="AD694" i="22"/>
  <c r="AD698" i="22"/>
  <c r="AD702" i="22"/>
  <c r="AE694" i="22"/>
  <c r="AE698" i="22"/>
  <c r="AE702" i="22"/>
  <c r="AE684" i="22"/>
  <c r="AC493" i="22"/>
  <c r="AC276" i="22"/>
  <c r="AE422" i="22"/>
  <c r="AE419" i="22"/>
  <c r="AE429" i="22"/>
  <c r="AC423" i="22"/>
  <c r="AC428" i="22"/>
  <c r="AD421" i="22"/>
  <c r="AD427" i="22"/>
  <c r="AC279" i="22"/>
  <c r="AD278" i="22"/>
  <c r="AE274" i="22"/>
  <c r="AE282" i="22"/>
  <c r="AC316" i="22"/>
  <c r="AD316" i="22"/>
  <c r="AE312" i="22"/>
  <c r="AE320" i="22"/>
  <c r="AC278" i="22"/>
  <c r="AC350" i="22"/>
  <c r="AE424" i="22"/>
  <c r="AC313" i="22"/>
  <c r="AC274" i="22"/>
  <c r="AC695" i="22"/>
  <c r="AC699" i="22"/>
  <c r="AC703" i="22"/>
  <c r="AD695" i="22"/>
  <c r="AD699" i="22"/>
  <c r="AD703" i="22"/>
  <c r="AE695" i="22"/>
  <c r="AE699" i="22"/>
  <c r="AE703" i="22"/>
  <c r="AE420" i="22"/>
  <c r="AE421" i="22"/>
  <c r="AC419" i="22"/>
  <c r="AC424" i="22"/>
  <c r="AC429" i="22"/>
  <c r="AD423" i="22"/>
  <c r="AD428" i="22"/>
  <c r="AC285" i="22"/>
  <c r="AD281" i="22"/>
  <c r="AE277" i="22"/>
  <c r="AE285" i="22"/>
  <c r="AC321" i="22"/>
  <c r="G31" i="15"/>
  <c r="AC318" i="22"/>
  <c r="AD311" i="22"/>
  <c r="AD319" i="22"/>
  <c r="AE315" i="22"/>
  <c r="AC684" i="22"/>
  <c r="AC497" i="22"/>
  <c r="AD450" i="22"/>
  <c r="AE305" i="22"/>
  <c r="AE71" i="22"/>
  <c r="AC688" i="22"/>
  <c r="AE501" i="22"/>
  <c r="AD497" i="22"/>
  <c r="AD301" i="22"/>
  <c r="AE231" i="22"/>
  <c r="AC258" i="22"/>
  <c r="AD691" i="22"/>
  <c r="AD501" i="22"/>
  <c r="AD33" i="22"/>
  <c r="AC260" i="22"/>
  <c r="AD345" i="22"/>
  <c r="AC33" i="22"/>
  <c r="AD258" i="22"/>
  <c r="AD688" i="22"/>
  <c r="AE688" i="22"/>
  <c r="AC692" i="22"/>
  <c r="AE491" i="22"/>
  <c r="AC501" i="22"/>
  <c r="AD22" i="22"/>
  <c r="AE28" i="22"/>
  <c r="AD46" i="22"/>
  <c r="AD50" i="22"/>
  <c r="AD54" i="22"/>
  <c r="AD10" i="22"/>
  <c r="AD14" i="22"/>
  <c r="AD18" i="22"/>
  <c r="AE53" i="22"/>
  <c r="AC14" i="22"/>
  <c r="AE254" i="22"/>
  <c r="AE46" i="22"/>
  <c r="AC53" i="22"/>
  <c r="AC211" i="22"/>
  <c r="AC15" i="22"/>
  <c r="AC391" i="22"/>
  <c r="AC26" i="22"/>
  <c r="AD683" i="22"/>
  <c r="AE692" i="22"/>
  <c r="AE496" i="22"/>
  <c r="AD493" i="22"/>
  <c r="AE453" i="22"/>
  <c r="AD28" i="22"/>
  <c r="AD47" i="22"/>
  <c r="AD51" i="22"/>
  <c r="AD55" i="22"/>
  <c r="AD11" i="22"/>
  <c r="AD15" i="22"/>
  <c r="AD19" i="22"/>
  <c r="AC52" i="22"/>
  <c r="AE33" i="22"/>
  <c r="AE11" i="22"/>
  <c r="AC57" i="22"/>
  <c r="AC19" i="22"/>
  <c r="AE50" i="22"/>
  <c r="AE208" i="22"/>
  <c r="AE12" i="22"/>
  <c r="G25" i="15"/>
  <c r="G65" i="15"/>
  <c r="AE20" i="22"/>
  <c r="AE352" i="22"/>
  <c r="AD250" i="22"/>
  <c r="AE495" i="22"/>
  <c r="AE500" i="22"/>
  <c r="AC490" i="22"/>
  <c r="AC494" i="22"/>
  <c r="AC498" i="22"/>
  <c r="AD490" i="22"/>
  <c r="AD494" i="22"/>
  <c r="AC446" i="22"/>
  <c r="AD309" i="22"/>
  <c r="AE79" i="22"/>
  <c r="AD24" i="22"/>
  <c r="AD29" i="22"/>
  <c r="AC252" i="22"/>
  <c r="AC27" i="22"/>
  <c r="AC25" i="22"/>
  <c r="AC28" i="22"/>
  <c r="AE30" i="22"/>
  <c r="AD251" i="22"/>
  <c r="AD259" i="22"/>
  <c r="AE22" i="22"/>
  <c r="AE29" i="22"/>
  <c r="AE26" i="22"/>
  <c r="G10" i="15"/>
  <c r="AC24" i="22"/>
  <c r="AC32" i="22"/>
  <c r="AE24" i="22"/>
  <c r="AD31" i="22"/>
  <c r="AD27" i="22"/>
  <c r="AD23" i="22"/>
  <c r="AE32" i="22"/>
  <c r="AE261" i="22"/>
  <c r="AE257" i="22"/>
  <c r="AE253" i="22"/>
  <c r="AD261" i="22"/>
  <c r="AD257" i="22"/>
  <c r="AD253" i="22"/>
  <c r="AC261" i="22"/>
  <c r="AC253" i="22"/>
  <c r="AC254" i="22"/>
  <c r="AE260" i="22"/>
  <c r="AE256" i="22"/>
  <c r="AE252" i="22"/>
  <c r="AD260" i="22"/>
  <c r="AD256" i="22"/>
  <c r="AD252" i="22"/>
  <c r="AC259" i="22"/>
  <c r="AC251" i="22"/>
  <c r="AC256" i="22"/>
  <c r="AD560" i="22"/>
  <c r="AD552" i="22"/>
  <c r="AC80" i="22"/>
  <c r="AE31" i="22"/>
  <c r="G36" i="15"/>
  <c r="AD686" i="22"/>
  <c r="AD693" i="22"/>
  <c r="AE685" i="22"/>
  <c r="AE693" i="22"/>
  <c r="AC689" i="22"/>
  <c r="AC72" i="22"/>
  <c r="AC30" i="22"/>
  <c r="AC22" i="22"/>
  <c r="G75" i="15"/>
  <c r="G45" i="15"/>
  <c r="AD690" i="22"/>
  <c r="AD684" i="22"/>
  <c r="AD687" i="22"/>
  <c r="AE682" i="22"/>
  <c r="AE686" i="22"/>
  <c r="AE690" i="22"/>
  <c r="AC682" i="22"/>
  <c r="AC686" i="22"/>
  <c r="AC690" i="22"/>
  <c r="AE498" i="22"/>
  <c r="AE499" i="22"/>
  <c r="AE493" i="22"/>
  <c r="AC491" i="22"/>
  <c r="AC495" i="22"/>
  <c r="AC499" i="22"/>
  <c r="AD491" i="22"/>
  <c r="AD495" i="22"/>
  <c r="AD499" i="22"/>
  <c r="AE444" i="22"/>
  <c r="AC451" i="22"/>
  <c r="AD226" i="22"/>
  <c r="AD25" i="22"/>
  <c r="AD30" i="22"/>
  <c r="AC23" i="22"/>
  <c r="G49" i="15"/>
  <c r="AE25" i="22"/>
  <c r="G29" i="15"/>
  <c r="AC255" i="22"/>
  <c r="AD254" i="22"/>
  <c r="AE250" i="22"/>
  <c r="AE258" i="22"/>
  <c r="AC250" i="22"/>
  <c r="AE23" i="22"/>
  <c r="AD685" i="22"/>
  <c r="AE689" i="22"/>
  <c r="AC685" i="22"/>
  <c r="AC693" i="22"/>
  <c r="AC339" i="22"/>
  <c r="AE27" i="22"/>
  <c r="AD682" i="22"/>
  <c r="AD692" i="22"/>
  <c r="AD689" i="22"/>
  <c r="AE683" i="22"/>
  <c r="AE687" i="22"/>
  <c r="AE691" i="22"/>
  <c r="AC683" i="22"/>
  <c r="AC687" i="22"/>
  <c r="AC691" i="22"/>
  <c r="AE490" i="22"/>
  <c r="AE492" i="22"/>
  <c r="AE497" i="22"/>
  <c r="AC492" i="22"/>
  <c r="AC496" i="22"/>
  <c r="AC500" i="22"/>
  <c r="AD492" i="22"/>
  <c r="AD496" i="22"/>
  <c r="AD500" i="22"/>
  <c r="AE450" i="22"/>
  <c r="AD445" i="22"/>
  <c r="AD75" i="22"/>
  <c r="AC29" i="22"/>
  <c r="AD26" i="22"/>
  <c r="AD32" i="22"/>
  <c r="AC31" i="22"/>
  <c r="AC257" i="22"/>
  <c r="AD255" i="22"/>
  <c r="AE251" i="22"/>
  <c r="AE259" i="22"/>
  <c r="H44" i="15"/>
  <c r="AE418" i="22"/>
  <c r="AE423" i="22"/>
  <c r="AC418" i="22"/>
  <c r="AC422" i="22"/>
  <c r="AC426" i="22"/>
  <c r="AD418" i="22"/>
  <c r="AD422" i="22"/>
  <c r="AD426" i="22"/>
  <c r="AC281" i="22"/>
  <c r="AD275" i="22"/>
  <c r="AD279" i="22"/>
  <c r="AD283" i="22"/>
  <c r="AE275" i="22"/>
  <c r="AE279" i="22"/>
  <c r="AE283" i="22"/>
  <c r="G34" i="15"/>
  <c r="AC310" i="22"/>
  <c r="AC315" i="22"/>
  <c r="AC320" i="22"/>
  <c r="AD313" i="22"/>
  <c r="AD317" i="22"/>
  <c r="AD321" i="22"/>
  <c r="AE313" i="22"/>
  <c r="AE317" i="22"/>
  <c r="AE321" i="22"/>
  <c r="G76" i="15"/>
  <c r="AC317" i="22"/>
  <c r="AC275" i="22"/>
  <c r="AC283" i="22"/>
  <c r="AD276" i="22"/>
  <c r="AD280" i="22"/>
  <c r="AD284" i="22"/>
  <c r="AE276" i="22"/>
  <c r="AE280" i="22"/>
  <c r="AE284" i="22"/>
  <c r="AC314" i="22"/>
  <c r="AC319" i="22"/>
  <c r="AD310" i="22"/>
  <c r="AD314" i="22"/>
  <c r="AD318" i="22"/>
  <c r="AE310" i="22"/>
  <c r="AE314" i="22"/>
  <c r="AE318" i="22"/>
  <c r="G43" i="15"/>
  <c r="AC337" i="22"/>
  <c r="AC345" i="22"/>
  <c r="AE344" i="22"/>
  <c r="AE340" i="22"/>
  <c r="AE336" i="22"/>
  <c r="AD344" i="22"/>
  <c r="AD340" i="22"/>
  <c r="AD336" i="22"/>
  <c r="AC342" i="22"/>
  <c r="AC334" i="22"/>
  <c r="AC341" i="22"/>
  <c r="AE343" i="22"/>
  <c r="AE339" i="22"/>
  <c r="AE335" i="22"/>
  <c r="AD343" i="22"/>
  <c r="AD339" i="22"/>
  <c r="AD335" i="22"/>
  <c r="AC340" i="22"/>
  <c r="AC343" i="22"/>
  <c r="AC335" i="22"/>
  <c r="AE342" i="22"/>
  <c r="AE338" i="22"/>
  <c r="AE334" i="22"/>
  <c r="AD342" i="22"/>
  <c r="AD338" i="22"/>
  <c r="AD334" i="22"/>
  <c r="AC338" i="22"/>
  <c r="AE307" i="22"/>
  <c r="AD308" i="22"/>
  <c r="AD304" i="22"/>
  <c r="AD300" i="22"/>
  <c r="AC308" i="22"/>
  <c r="AC304" i="22"/>
  <c r="AC300" i="22"/>
  <c r="AE302" i="22"/>
  <c r="AE301" i="22"/>
  <c r="G33" i="15"/>
  <c r="AE299" i="22"/>
  <c r="AD306" i="22"/>
  <c r="AD302" i="22"/>
  <c r="AD298" i="22"/>
  <c r="AC306" i="22"/>
  <c r="AC302" i="22"/>
  <c r="AC298" i="22"/>
  <c r="AE309" i="22"/>
  <c r="AE304" i="22"/>
  <c r="AD237" i="22"/>
  <c r="G27" i="15"/>
  <c r="AD231" i="22"/>
  <c r="AC73" i="22"/>
  <c r="AC81" i="22"/>
  <c r="AE80" i="22"/>
  <c r="AE76" i="22"/>
  <c r="AE72" i="22"/>
  <c r="AD80" i="22"/>
  <c r="AD76" i="22"/>
  <c r="AD72" i="22"/>
  <c r="AC75" i="22"/>
  <c r="AC77" i="22"/>
  <c r="AE78" i="22"/>
  <c r="AE74" i="22"/>
  <c r="AE70" i="22"/>
  <c r="AD78" i="22"/>
  <c r="AD74" i="22"/>
  <c r="AD70" i="22"/>
  <c r="AC70" i="22"/>
  <c r="AE452" i="22"/>
  <c r="AE445" i="22"/>
  <c r="AC442" i="22"/>
  <c r="AC447" i="22"/>
  <c r="AC453" i="22"/>
  <c r="AD446" i="22"/>
  <c r="AE298" i="22"/>
  <c r="AC299" i="22"/>
  <c r="AC307" i="22"/>
  <c r="AD303" i="22"/>
  <c r="AD236" i="22"/>
  <c r="AD77" i="22"/>
  <c r="AE73" i="22"/>
  <c r="AE81" i="22"/>
  <c r="AC344" i="22"/>
  <c r="AE337" i="22"/>
  <c r="AC71" i="22"/>
  <c r="AE559" i="22"/>
  <c r="AE555" i="22"/>
  <c r="AE551" i="22"/>
  <c r="AD559" i="22"/>
  <c r="AD555" i="22"/>
  <c r="AD551" i="22"/>
  <c r="AC556" i="22"/>
  <c r="AC561" i="22"/>
  <c r="AC553" i="22"/>
  <c r="AE558" i="22"/>
  <c r="AE554" i="22"/>
  <c r="AE550" i="22"/>
  <c r="AD558" i="22"/>
  <c r="AD554" i="22"/>
  <c r="AD550" i="22"/>
  <c r="AC554" i="22"/>
  <c r="AC559" i="22"/>
  <c r="AC551" i="22"/>
  <c r="AE561" i="22"/>
  <c r="AE553" i="22"/>
  <c r="AD557" i="22"/>
  <c r="AC560" i="22"/>
  <c r="AC557" i="22"/>
  <c r="AE560" i="22"/>
  <c r="AE552" i="22"/>
  <c r="AD556" i="22"/>
  <c r="AC558" i="22"/>
  <c r="AC555" i="22"/>
  <c r="AE557" i="22"/>
  <c r="AD561" i="22"/>
  <c r="AD553" i="22"/>
  <c r="AC552" i="22"/>
  <c r="AE448" i="22"/>
  <c r="AD452" i="22"/>
  <c r="AD448" i="22"/>
  <c r="AD444" i="22"/>
  <c r="AC452" i="22"/>
  <c r="AC448" i="22"/>
  <c r="AC444" i="22"/>
  <c r="AE451" i="22"/>
  <c r="AE443" i="22"/>
  <c r="AD357" i="22"/>
  <c r="AD353" i="22"/>
  <c r="AD349" i="22"/>
  <c r="AC357" i="22"/>
  <c r="AC353" i="22"/>
  <c r="AC349" i="22"/>
  <c r="AE357" i="22"/>
  <c r="AE349" i="22"/>
  <c r="AE354" i="22"/>
  <c r="AD356" i="22"/>
  <c r="AD352" i="22"/>
  <c r="AD348" i="22"/>
  <c r="AC356" i="22"/>
  <c r="AC352" i="22"/>
  <c r="AC348" i="22"/>
  <c r="AE355" i="22"/>
  <c r="AE347" i="22"/>
  <c r="AE346" i="22"/>
  <c r="AD351" i="22"/>
  <c r="AC355" i="22"/>
  <c r="AC347" i="22"/>
  <c r="AD350" i="22"/>
  <c r="AC354" i="22"/>
  <c r="AC346" i="22"/>
  <c r="AD355" i="22"/>
  <c r="AD347" i="22"/>
  <c r="AC351" i="22"/>
  <c r="AE353" i="22"/>
  <c r="AC78" i="22"/>
  <c r="G14" i="15"/>
  <c r="AE356" i="22"/>
  <c r="AC76" i="22"/>
  <c r="AE447" i="22"/>
  <c r="AC443" i="22"/>
  <c r="AC449" i="22"/>
  <c r="AD442" i="22"/>
  <c r="AD447" i="22"/>
  <c r="AD453" i="22"/>
  <c r="AE300" i="22"/>
  <c r="AE306" i="22"/>
  <c r="AC301" i="22"/>
  <c r="AC309" i="22"/>
  <c r="AD305" i="22"/>
  <c r="AD230" i="22"/>
  <c r="AD71" i="22"/>
  <c r="AD79" i="22"/>
  <c r="AE75" i="22"/>
  <c r="AD337" i="22"/>
  <c r="AE341" i="22"/>
  <c r="AE556" i="22"/>
  <c r="AD354" i="22"/>
  <c r="AE348" i="22"/>
  <c r="AE303" i="22"/>
  <c r="AC74" i="22"/>
  <c r="G37" i="15"/>
  <c r="AE446" i="22"/>
  <c r="AE442" i="22"/>
  <c r="AE449" i="22"/>
  <c r="AC445" i="22"/>
  <c r="AC450" i="22"/>
  <c r="AD443" i="22"/>
  <c r="AD449" i="22"/>
  <c r="AE308" i="22"/>
  <c r="AC303" i="22"/>
  <c r="AD299" i="22"/>
  <c r="AD307" i="22"/>
  <c r="AE237" i="22"/>
  <c r="AD73" i="22"/>
  <c r="AD81" i="22"/>
  <c r="AE77" i="22"/>
  <c r="AE350" i="22"/>
  <c r="G64" i="15"/>
  <c r="AD341" i="22"/>
  <c r="AE345" i="22"/>
  <c r="AC550" i="22"/>
  <c r="AE351" i="22"/>
  <c r="G90" i="15"/>
  <c r="G88" i="15"/>
  <c r="AE164" i="22"/>
  <c r="AE160" i="22"/>
  <c r="G21" i="15"/>
  <c r="AC163" i="22"/>
  <c r="AC155" i="22"/>
  <c r="AC369" i="22"/>
  <c r="AC365" i="22"/>
  <c r="AC361" i="22"/>
  <c r="AE369" i="22"/>
  <c r="AE365" i="22"/>
  <c r="AE361" i="22"/>
  <c r="AD369" i="22"/>
  <c r="AD361" i="22"/>
  <c r="AD364" i="22"/>
  <c r="AC368" i="22"/>
  <c r="AC364" i="22"/>
  <c r="AC360" i="22"/>
  <c r="AE368" i="22"/>
  <c r="AE364" i="22"/>
  <c r="AE360" i="22"/>
  <c r="AD367" i="22"/>
  <c r="AD359" i="22"/>
  <c r="AD362" i="22"/>
  <c r="I73" i="1"/>
  <c r="I73" i="15" s="1"/>
  <c r="I19" i="1"/>
  <c r="I19" i="15" s="1"/>
  <c r="I70" i="2"/>
  <c r="I22" i="1"/>
  <c r="I22" i="15" s="1"/>
  <c r="I70" i="1"/>
  <c r="I70" i="15" s="1"/>
  <c r="I72" i="2"/>
  <c r="I81" i="1"/>
  <c r="I81" i="15" s="1"/>
  <c r="I32" i="1"/>
  <c r="I32" i="15" s="1"/>
  <c r="I69" i="1"/>
  <c r="I69" i="15" s="1"/>
  <c r="I71" i="1"/>
  <c r="I71" i="15" s="1"/>
  <c r="I77" i="1"/>
  <c r="I77" i="15" s="1"/>
  <c r="L75" i="2"/>
  <c r="C96" i="14" s="1"/>
  <c r="I77" i="2"/>
  <c r="I67" i="1"/>
  <c r="I67" i="15" s="1"/>
  <c r="I20" i="1"/>
  <c r="I20" i="15" s="1"/>
  <c r="I72" i="1"/>
  <c r="I72" i="15" s="1"/>
  <c r="H66" i="15"/>
  <c r="F44" i="15"/>
  <c r="E78" i="15"/>
  <c r="F78" i="15"/>
  <c r="H78" i="15"/>
  <c r="E41" i="15"/>
  <c r="F47" i="15"/>
  <c r="F93" i="15"/>
  <c r="H93" i="15"/>
  <c r="E93" i="15"/>
  <c r="F13" i="15"/>
  <c r="H13" i="15"/>
  <c r="E13" i="15"/>
  <c r="E11" i="15"/>
  <c r="F11" i="15"/>
  <c r="H41" i="15"/>
  <c r="E44" i="15"/>
  <c r="F41" i="15"/>
  <c r="E89" i="15"/>
  <c r="F89" i="15"/>
  <c r="E30" i="15"/>
  <c r="F30" i="15"/>
  <c r="F15" i="15"/>
  <c r="E15" i="15"/>
  <c r="F74" i="15"/>
  <c r="E74" i="15"/>
  <c r="E61" i="15"/>
  <c r="F61" i="15"/>
  <c r="E94" i="15"/>
  <c r="F94" i="15"/>
  <c r="F35" i="15"/>
  <c r="E35" i="15"/>
  <c r="F39" i="15"/>
  <c r="E39" i="15"/>
  <c r="F28" i="15"/>
  <c r="E28" i="15"/>
  <c r="F42" i="15"/>
  <c r="E42" i="15"/>
  <c r="AD235" i="22" l="1"/>
  <c r="AE229" i="22"/>
  <c r="AC234" i="22"/>
  <c r="AE230" i="22"/>
  <c r="AC228" i="22"/>
  <c r="AE235" i="22"/>
  <c r="AC231" i="22"/>
  <c r="AC229" i="22"/>
  <c r="AE232" i="22"/>
  <c r="AC226" i="22"/>
  <c r="AE234" i="22"/>
  <c r="AD228" i="22"/>
  <c r="AC233" i="22"/>
  <c r="AE226" i="22"/>
  <c r="AE227" i="22"/>
  <c r="AD227" i="22"/>
  <c r="AE236" i="22"/>
  <c r="AD229" i="22"/>
  <c r="AC232" i="22"/>
  <c r="AD232" i="22"/>
  <c r="AC235" i="22"/>
  <c r="AE233" i="22"/>
  <c r="AC237" i="22"/>
  <c r="AE228" i="22"/>
  <c r="AC230" i="22"/>
  <c r="AD233" i="22"/>
  <c r="AC236" i="22"/>
  <c r="AC227" i="22"/>
  <c r="G26" i="15"/>
  <c r="AC219" i="22"/>
  <c r="AC223" i="22"/>
  <c r="AE223" i="22"/>
  <c r="AC218" i="22"/>
  <c r="AE222" i="22"/>
  <c r="AE225" i="22"/>
  <c r="AD221" i="22"/>
  <c r="AC220" i="22"/>
  <c r="AD216" i="22"/>
  <c r="AD222" i="22"/>
  <c r="AC222" i="22"/>
  <c r="AE214" i="22"/>
  <c r="AD225" i="22"/>
  <c r="AD220" i="22"/>
  <c r="AD223" i="22"/>
  <c r="AC215" i="22"/>
  <c r="AE215" i="22"/>
  <c r="AD214" i="22"/>
  <c r="AE218" i="22"/>
  <c r="AE217" i="22"/>
  <c r="AD217" i="22"/>
  <c r="AC216" i="22"/>
  <c r="AE224" i="22"/>
  <c r="AE219" i="22"/>
  <c r="AD219" i="22"/>
  <c r="AC214" i="22"/>
  <c r="AD218" i="22"/>
  <c r="AC225" i="22"/>
  <c r="AC221" i="22"/>
  <c r="AE221" i="22"/>
  <c r="AD224" i="22"/>
  <c r="AE220" i="22"/>
  <c r="AD215" i="22"/>
  <c r="AC217" i="22"/>
  <c r="AC224" i="22"/>
  <c r="AE216" i="22"/>
  <c r="AD803" i="22"/>
  <c r="AD804" i="22"/>
  <c r="AD805" i="22"/>
  <c r="AD806" i="22"/>
  <c r="AD807" i="22"/>
  <c r="AD808" i="22"/>
  <c r="AD809" i="22"/>
  <c r="AD810" i="22"/>
  <c r="AD811" i="22"/>
  <c r="AD812" i="22"/>
  <c r="AD813" i="22"/>
  <c r="AD802" i="22"/>
  <c r="AC804" i="22"/>
  <c r="AC806" i="22"/>
  <c r="AC809" i="22"/>
  <c r="AC811" i="22"/>
  <c r="AE802" i="22"/>
  <c r="AE803" i="22"/>
  <c r="AE804" i="22"/>
  <c r="AE805" i="22"/>
  <c r="AE806" i="22"/>
  <c r="AE807" i="22"/>
  <c r="AE808" i="22"/>
  <c r="AE809" i="22"/>
  <c r="AE810" i="22"/>
  <c r="AE811" i="22"/>
  <c r="AE812" i="22"/>
  <c r="AE813" i="22"/>
  <c r="AC802" i="22"/>
  <c r="AC803" i="22"/>
  <c r="AC805" i="22"/>
  <c r="AC807" i="22"/>
  <c r="AC808" i="22"/>
  <c r="AC810" i="22"/>
  <c r="AC812" i="22"/>
  <c r="AC813" i="22"/>
  <c r="AD741" i="22"/>
  <c r="AD730" i="22"/>
  <c r="AC737" i="22"/>
  <c r="AE731" i="22"/>
  <c r="AC732" i="22"/>
  <c r="AC738" i="22"/>
  <c r="AE732" i="22"/>
  <c r="AD740" i="22"/>
  <c r="AC735" i="22"/>
  <c r="AD734" i="22"/>
  <c r="AD735" i="22"/>
  <c r="AD732" i="22"/>
  <c r="AD733" i="22"/>
  <c r="AD738" i="22"/>
  <c r="AC736" i="22"/>
  <c r="AD739" i="22"/>
  <c r="AE741" i="22"/>
  <c r="AD736" i="22"/>
  <c r="AD737" i="22"/>
  <c r="AC741" i="22"/>
  <c r="AE735" i="22"/>
  <c r="AC730" i="22"/>
  <c r="AE730" i="22"/>
  <c r="AE736" i="22"/>
  <c r="AD731" i="22"/>
  <c r="AC739" i="22"/>
  <c r="AE733" i="22"/>
  <c r="AC740" i="22"/>
  <c r="AE740" i="22"/>
  <c r="AE737" i="22"/>
  <c r="AC731" i="22"/>
  <c r="AE734" i="22"/>
  <c r="AE739" i="22"/>
  <c r="AE738" i="22"/>
  <c r="AC733" i="22"/>
  <c r="AC734" i="22"/>
  <c r="AD292" i="22"/>
  <c r="AD286" i="22"/>
  <c r="AC293" i="22"/>
  <c r="AE290" i="22"/>
  <c r="AD293" i="22"/>
  <c r="AD291" i="22"/>
  <c r="AE292" i="22"/>
  <c r="AE297" i="22"/>
  <c r="AD290" i="22"/>
  <c r="AD288" i="22"/>
  <c r="AD297" i="22"/>
  <c r="AC286" i="22"/>
  <c r="AE294" i="22"/>
  <c r="AD295" i="22"/>
  <c r="AC288" i="22"/>
  <c r="AD650" i="22"/>
  <c r="AC289" i="22"/>
  <c r="AC297" i="22"/>
  <c r="AC290" i="22"/>
  <c r="AD294" i="22"/>
  <c r="AE295" i="22"/>
  <c r="AC295" i="22"/>
  <c r="G32" i="15"/>
  <c r="AD296" i="22"/>
  <c r="AC292" i="22"/>
  <c r="AE289" i="22"/>
  <c r="AC184" i="22"/>
  <c r="AC291" i="22"/>
  <c r="AE296" i="22"/>
  <c r="AE291" i="22"/>
  <c r="AC294" i="22"/>
  <c r="AE286" i="22"/>
  <c r="AD287" i="22"/>
  <c r="AE287" i="22"/>
  <c r="AE288" i="22"/>
  <c r="AC296" i="22"/>
  <c r="AD289" i="22"/>
  <c r="AE293" i="22"/>
  <c r="AD627" i="22"/>
  <c r="AC626" i="22"/>
  <c r="AC593" i="22"/>
  <c r="AD588" i="22"/>
  <c r="G86" i="1"/>
  <c r="G85" i="1"/>
  <c r="I76" i="2"/>
  <c r="AD648" i="22"/>
  <c r="AC649" i="22"/>
  <c r="AE712" i="22"/>
  <c r="AD709" i="22"/>
  <c r="AD655" i="22"/>
  <c r="AD653" i="22"/>
  <c r="AD647" i="22"/>
  <c r="AC656" i="22"/>
  <c r="AC646" i="22"/>
  <c r="AC586" i="22"/>
  <c r="AC180" i="22"/>
  <c r="AE588" i="22"/>
  <c r="AD595" i="22"/>
  <c r="AD586" i="22"/>
  <c r="AD593" i="22"/>
  <c r="AC587" i="22"/>
  <c r="AE188" i="22"/>
  <c r="AD184" i="22"/>
  <c r="AE592" i="22"/>
  <c r="AD597" i="22"/>
  <c r="AD590" i="22"/>
  <c r="AC591" i="22"/>
  <c r="AE595" i="22"/>
  <c r="G23" i="15"/>
  <c r="AD179" i="22"/>
  <c r="AE587" i="22"/>
  <c r="AC178" i="22"/>
  <c r="AC589" i="22"/>
  <c r="AE591" i="22"/>
  <c r="AD591" i="22"/>
  <c r="AC596" i="22"/>
  <c r="AD181" i="22"/>
  <c r="AE589" i="22"/>
  <c r="AC597" i="22"/>
  <c r="AE586" i="22"/>
  <c r="AC590" i="22"/>
  <c r="AD594" i="22"/>
  <c r="AE596" i="22"/>
  <c r="AC595" i="22"/>
  <c r="AC588" i="22"/>
  <c r="AD592" i="22"/>
  <c r="AE183" i="22"/>
  <c r="AD189" i="22"/>
  <c r="AC186" i="22"/>
  <c r="AD188" i="22"/>
  <c r="AE597" i="22"/>
  <c r="AD589" i="22"/>
  <c r="AE594" i="22"/>
  <c r="AC594" i="22"/>
  <c r="G67" i="15"/>
  <c r="AE593" i="22"/>
  <c r="AD587" i="22"/>
  <c r="AE590" i="22"/>
  <c r="AC592" i="22"/>
  <c r="AE186" i="22"/>
  <c r="AD186" i="22"/>
  <c r="AC181" i="22"/>
  <c r="AE185" i="22"/>
  <c r="AC185" i="22"/>
  <c r="AC652" i="22"/>
  <c r="AE650" i="22"/>
  <c r="AC653" i="22"/>
  <c r="AD657" i="22"/>
  <c r="AC650" i="22"/>
  <c r="AD654" i="22"/>
  <c r="AC651" i="22"/>
  <c r="AC648" i="22"/>
  <c r="AE656" i="22"/>
  <c r="E72" i="1"/>
  <c r="E72" i="15" s="1"/>
  <c r="AC647" i="22"/>
  <c r="AE655" i="22"/>
  <c r="AE646" i="22"/>
  <c r="AE649" i="22"/>
  <c r="AC657" i="22"/>
  <c r="AE648" i="22"/>
  <c r="AC654" i="22"/>
  <c r="AE653" i="22"/>
  <c r="AE647" i="22"/>
  <c r="F72" i="1"/>
  <c r="F72" i="15" s="1"/>
  <c r="AD656" i="22"/>
  <c r="AE652" i="22"/>
  <c r="G72" i="15"/>
  <c r="AE657" i="22"/>
  <c r="AD649" i="22"/>
  <c r="AE651" i="22"/>
  <c r="AD646" i="22"/>
  <c r="AE654" i="22"/>
  <c r="AD652" i="22"/>
  <c r="AD651" i="22"/>
  <c r="AC189" i="22"/>
  <c r="AE178" i="22"/>
  <c r="AC187" i="22"/>
  <c r="AD182" i="22"/>
  <c r="AE182" i="22"/>
  <c r="AD183" i="22"/>
  <c r="AE179" i="22"/>
  <c r="AC188" i="22"/>
  <c r="AC179" i="22"/>
  <c r="AE189" i="22"/>
  <c r="AC182" i="22"/>
  <c r="AC183" i="22"/>
  <c r="AD178" i="22"/>
  <c r="AE181" i="22"/>
  <c r="AE180" i="22"/>
  <c r="AE184" i="22"/>
  <c r="AD187" i="22"/>
  <c r="AE187" i="22"/>
  <c r="AD180" i="22"/>
  <c r="AC715" i="22"/>
  <c r="AE144" i="22"/>
  <c r="AE707" i="22"/>
  <c r="AD143" i="22"/>
  <c r="AD145" i="22"/>
  <c r="AC625" i="22"/>
  <c r="AE149" i="22"/>
  <c r="AD710" i="22"/>
  <c r="AE147" i="22"/>
  <c r="AE714" i="22"/>
  <c r="AD150" i="22"/>
  <c r="AC143" i="22"/>
  <c r="AD624" i="22"/>
  <c r="AD631" i="22"/>
  <c r="AD632" i="22"/>
  <c r="AD625" i="22"/>
  <c r="AE628" i="22"/>
  <c r="AC717" i="22"/>
  <c r="AE716" i="22"/>
  <c r="AC707" i="22"/>
  <c r="G20" i="15"/>
  <c r="AD714" i="22"/>
  <c r="AD707" i="22"/>
  <c r="AE711" i="22"/>
  <c r="AC147" i="22"/>
  <c r="AE142" i="22"/>
  <c r="AC153" i="22"/>
  <c r="AD147" i="22"/>
  <c r="AE151" i="22"/>
  <c r="AD144" i="22"/>
  <c r="AE148" i="22"/>
  <c r="AD149" i="22"/>
  <c r="AE153" i="22"/>
  <c r="AC633" i="22"/>
  <c r="AD623" i="22"/>
  <c r="AC628" i="22"/>
  <c r="AE624" i="22"/>
  <c r="AC148" i="22"/>
  <c r="AC630" i="22"/>
  <c r="AE632" i="22"/>
  <c r="AE622" i="22"/>
  <c r="AD717" i="22"/>
  <c r="AD712" i="22"/>
  <c r="AD713" i="22"/>
  <c r="AC712" i="22"/>
  <c r="AC708" i="22"/>
  <c r="AC716" i="22"/>
  <c r="AD630" i="22"/>
  <c r="F20" i="1"/>
  <c r="F20" i="15" s="1"/>
  <c r="AC150" i="22"/>
  <c r="AC144" i="22"/>
  <c r="AC714" i="22"/>
  <c r="AE706" i="22"/>
  <c r="AD711" i="22"/>
  <c r="AE715" i="22"/>
  <c r="AD142" i="22"/>
  <c r="AE146" i="22"/>
  <c r="AC145" i="22"/>
  <c r="AD151" i="22"/>
  <c r="AD148" i="22"/>
  <c r="AE152" i="22"/>
  <c r="AD153" i="22"/>
  <c r="AD633" i="22"/>
  <c r="AE629" i="22"/>
  <c r="AD626" i="22"/>
  <c r="AC624" i="22"/>
  <c r="AD629" i="22"/>
  <c r="G70" i="15"/>
  <c r="AC622" i="22"/>
  <c r="AD622" i="22"/>
  <c r="AC627" i="22"/>
  <c r="AC713" i="22"/>
  <c r="AC709" i="22"/>
  <c r="AC706" i="22"/>
  <c r="AE709" i="22"/>
  <c r="AD708" i="22"/>
  <c r="AE708" i="22"/>
  <c r="AC623" i="22"/>
  <c r="AE627" i="22"/>
  <c r="E20" i="1"/>
  <c r="E20" i="15" s="1"/>
  <c r="AC142" i="22"/>
  <c r="AD706" i="22"/>
  <c r="AE710" i="22"/>
  <c r="AC711" i="22"/>
  <c r="AD715" i="22"/>
  <c r="G77" i="15"/>
  <c r="AD146" i="22"/>
  <c r="AE150" i="22"/>
  <c r="AE143" i="22"/>
  <c r="AC151" i="22"/>
  <c r="AD152" i="22"/>
  <c r="AC149" i="22"/>
  <c r="AE145" i="22"/>
  <c r="AC629" i="22"/>
  <c r="AE625" i="22"/>
  <c r="AC632" i="22"/>
  <c r="AE633" i="22"/>
  <c r="AE626" i="22"/>
  <c r="AC631" i="22"/>
  <c r="AE630" i="22"/>
  <c r="AC710" i="22"/>
  <c r="AE717" i="22"/>
  <c r="AD716" i="22"/>
  <c r="AC146" i="22"/>
  <c r="AD628" i="22"/>
  <c r="AE623" i="22"/>
  <c r="AC755" i="22"/>
  <c r="AD756" i="22"/>
  <c r="AE757" i="22"/>
  <c r="AC759" i="22"/>
  <c r="AD760" i="22"/>
  <c r="AE761" i="22"/>
  <c r="AC763" i="22"/>
  <c r="AD764" i="22"/>
  <c r="AE765" i="22"/>
  <c r="AD757" i="22"/>
  <c r="AC760" i="22"/>
  <c r="AE762" i="22"/>
  <c r="AD755" i="22"/>
  <c r="AE756" i="22"/>
  <c r="AC758" i="22"/>
  <c r="AD759" i="22"/>
  <c r="AE760" i="22"/>
  <c r="AC762" i="22"/>
  <c r="AD763" i="22"/>
  <c r="AE764" i="22"/>
  <c r="AD754" i="22"/>
  <c r="AC756" i="22"/>
  <c r="AD761" i="22"/>
  <c r="AD765" i="22"/>
  <c r="AE755" i="22"/>
  <c r="AC757" i="22"/>
  <c r="AD758" i="22"/>
  <c r="AE759" i="22"/>
  <c r="AC761" i="22"/>
  <c r="AD762" i="22"/>
  <c r="AE763" i="22"/>
  <c r="AC765" i="22"/>
  <c r="AE758" i="22"/>
  <c r="AC764" i="22"/>
  <c r="AC754" i="22"/>
  <c r="AE754" i="22"/>
  <c r="E81" i="1"/>
  <c r="AE743" i="22"/>
  <c r="AE744" i="22"/>
  <c r="AE745" i="22"/>
  <c r="AE746" i="22"/>
  <c r="AE747" i="22"/>
  <c r="AE748" i="22"/>
  <c r="AE749" i="22"/>
  <c r="AE750" i="22"/>
  <c r="AE751" i="22"/>
  <c r="AE752" i="22"/>
  <c r="AE753" i="22"/>
  <c r="AC742" i="22"/>
  <c r="AD745" i="22"/>
  <c r="AD746" i="22"/>
  <c r="AD749" i="22"/>
  <c r="AD751" i="22"/>
  <c r="AD742" i="22"/>
  <c r="AC743" i="22"/>
  <c r="AC745" i="22"/>
  <c r="AC747" i="22"/>
  <c r="AC748" i="22"/>
  <c r="AC750" i="22"/>
  <c r="AC751" i="22"/>
  <c r="AC752" i="22"/>
  <c r="AE742" i="22"/>
  <c r="AD744" i="22"/>
  <c r="AD747" i="22"/>
  <c r="AD750" i="22"/>
  <c r="AD753" i="22"/>
  <c r="AC744" i="22"/>
  <c r="AC746" i="22"/>
  <c r="AC749" i="22"/>
  <c r="AC753" i="22"/>
  <c r="AD743" i="22"/>
  <c r="AD748" i="22"/>
  <c r="AD752" i="22"/>
  <c r="AC199" i="22"/>
  <c r="AE194" i="22"/>
  <c r="AD201" i="22"/>
  <c r="F81" i="1"/>
  <c r="AD198" i="22"/>
  <c r="G24" i="15"/>
  <c r="AE190" i="22"/>
  <c r="AC195" i="22"/>
  <c r="AE191" i="22"/>
  <c r="AE195" i="22"/>
  <c r="AC198" i="22"/>
  <c r="AC193" i="22"/>
  <c r="AE193" i="22"/>
  <c r="AE199" i="22"/>
  <c r="AC194" i="22"/>
  <c r="AE197" i="22"/>
  <c r="AD191" i="22"/>
  <c r="AC201" i="22"/>
  <c r="AC192" i="22"/>
  <c r="AD200" i="22"/>
  <c r="AE201" i="22"/>
  <c r="AD193" i="22"/>
  <c r="AC196" i="22"/>
  <c r="AD190" i="22"/>
  <c r="AE192" i="22"/>
  <c r="AD195" i="22"/>
  <c r="AD192" i="22"/>
  <c r="AC200" i="22"/>
  <c r="F24" i="1"/>
  <c r="F24" i="15" s="1"/>
  <c r="AC190" i="22"/>
  <c r="AD196" i="22"/>
  <c r="AE198" i="22"/>
  <c r="AE196" i="22"/>
  <c r="AD197" i="22"/>
  <c r="AC191" i="22"/>
  <c r="AD194" i="22"/>
  <c r="AE200" i="22"/>
  <c r="AD199" i="22"/>
  <c r="AC197" i="22"/>
  <c r="F84" i="15"/>
  <c r="E84" i="15"/>
  <c r="G79" i="15"/>
  <c r="E31" i="15"/>
  <c r="H21" i="15"/>
  <c r="H75" i="15"/>
  <c r="E21" i="15"/>
  <c r="F31" i="15"/>
  <c r="H25" i="15"/>
  <c r="E25" i="15"/>
  <c r="E24" i="15"/>
  <c r="AE644" i="22"/>
  <c r="AE640" i="22"/>
  <c r="AE636" i="22"/>
  <c r="AD644" i="22"/>
  <c r="AD640" i="22"/>
  <c r="AD636" i="22"/>
  <c r="AC642" i="22"/>
  <c r="AC634" i="22"/>
  <c r="AC635" i="22"/>
  <c r="AE643" i="22"/>
  <c r="AE639" i="22"/>
  <c r="AE635" i="22"/>
  <c r="AD643" i="22"/>
  <c r="AD639" i="22"/>
  <c r="AD635" i="22"/>
  <c r="AC640" i="22"/>
  <c r="AC639" i="22"/>
  <c r="AC637" i="22"/>
  <c r="AE642" i="22"/>
  <c r="AE634" i="22"/>
  <c r="AD638" i="22"/>
  <c r="AC638" i="22"/>
  <c r="AE641" i="22"/>
  <c r="AD645" i="22"/>
  <c r="AD637" i="22"/>
  <c r="AC636" i="22"/>
  <c r="AC645" i="22"/>
  <c r="AE638" i="22"/>
  <c r="AD642" i="22"/>
  <c r="AD634" i="22"/>
  <c r="AC641" i="22"/>
  <c r="AD641" i="22"/>
  <c r="G71" i="15"/>
  <c r="AC644" i="22"/>
  <c r="AE637" i="22"/>
  <c r="AE645" i="22"/>
  <c r="AC643" i="22"/>
  <c r="AD618" i="22"/>
  <c r="AD614" i="22"/>
  <c r="AD610" i="22"/>
  <c r="AC618" i="22"/>
  <c r="AC614" i="22"/>
  <c r="AC610" i="22"/>
  <c r="AE615" i="22"/>
  <c r="AE618" i="22"/>
  <c r="AE610" i="22"/>
  <c r="AD611" i="22"/>
  <c r="AE620" i="22"/>
  <c r="AE621" i="22"/>
  <c r="AD617" i="22"/>
  <c r="AD613" i="22"/>
  <c r="AD621" i="22"/>
  <c r="AC617" i="22"/>
  <c r="AC613" i="22"/>
  <c r="AC621" i="22"/>
  <c r="AE613" i="22"/>
  <c r="AE616" i="22"/>
  <c r="AC612" i="22"/>
  <c r="AE611" i="22"/>
  <c r="AD615" i="22"/>
  <c r="AE617" i="22"/>
  <c r="AD620" i="22"/>
  <c r="AD616" i="22"/>
  <c r="AD612" i="22"/>
  <c r="AC620" i="22"/>
  <c r="AC616" i="22"/>
  <c r="AE619" i="22"/>
  <c r="AE614" i="22"/>
  <c r="G69" i="15"/>
  <c r="AD619" i="22"/>
  <c r="AC619" i="22"/>
  <c r="AC611" i="22"/>
  <c r="AE612" i="22"/>
  <c r="AC615" i="22"/>
  <c r="G73" i="15"/>
  <c r="AE666" i="22"/>
  <c r="AE662" i="22"/>
  <c r="AE658" i="22"/>
  <c r="AD666" i="22"/>
  <c r="AD662" i="22"/>
  <c r="AD658" i="22"/>
  <c r="AC662" i="22"/>
  <c r="AC665" i="22"/>
  <c r="AE669" i="22"/>
  <c r="AE665" i="22"/>
  <c r="AE661" i="22"/>
  <c r="AD669" i="22"/>
  <c r="AD665" i="22"/>
  <c r="AD661" i="22"/>
  <c r="AC668" i="22"/>
  <c r="AC660" i="22"/>
  <c r="AC667" i="22"/>
  <c r="AE668" i="22"/>
  <c r="AE664" i="22"/>
  <c r="AE660" i="22"/>
  <c r="AD668" i="22"/>
  <c r="AD664" i="22"/>
  <c r="AD660" i="22"/>
  <c r="AC666" i="22"/>
  <c r="AC658" i="22"/>
  <c r="AC659" i="22"/>
  <c r="AE663" i="22"/>
  <c r="AD659" i="22"/>
  <c r="AE659" i="22"/>
  <c r="AC664" i="22"/>
  <c r="AD667" i="22"/>
  <c r="AC663" i="22"/>
  <c r="AC669" i="22"/>
  <c r="AE667" i="22"/>
  <c r="AD663" i="22"/>
  <c r="AC661" i="22"/>
  <c r="I75" i="2"/>
  <c r="G87" i="15"/>
  <c r="G82" i="15"/>
  <c r="G80" i="15"/>
  <c r="G81" i="15"/>
  <c r="G22" i="15"/>
  <c r="AE170" i="22"/>
  <c r="AC173" i="22"/>
  <c r="AD176" i="22"/>
  <c r="AD172" i="22"/>
  <c r="AD168" i="22"/>
  <c r="AC174" i="22"/>
  <c r="AC166" i="22"/>
  <c r="AC171" i="22"/>
  <c r="AC176" i="22"/>
  <c r="AC168" i="22"/>
  <c r="AE174" i="22"/>
  <c r="AD175" i="22"/>
  <c r="AD171" i="22"/>
  <c r="AD167" i="22"/>
  <c r="AE171" i="22"/>
  <c r="AE176" i="22"/>
  <c r="AE168" i="22"/>
  <c r="AE173" i="22"/>
  <c r="AC177" i="22"/>
  <c r="AD174" i="22"/>
  <c r="AD170" i="22"/>
  <c r="AD166" i="22"/>
  <c r="AC170" i="22"/>
  <c r="AC175" i="22"/>
  <c r="AC167" i="22"/>
  <c r="AC172" i="22"/>
  <c r="AE166" i="22"/>
  <c r="AD177" i="22"/>
  <c r="AD173" i="22"/>
  <c r="AD169" i="22"/>
  <c r="AE175" i="22"/>
  <c r="AE167" i="22"/>
  <c r="AE172" i="22"/>
  <c r="AE177" i="22"/>
  <c r="AE169" i="22"/>
  <c r="AC169" i="22"/>
  <c r="H60" i="15"/>
  <c r="H47" i="15"/>
  <c r="H11" i="15"/>
  <c r="H28" i="15"/>
  <c r="H39" i="15"/>
  <c r="H15" i="15"/>
  <c r="H30" i="15"/>
  <c r="H61" i="15"/>
  <c r="H74" i="15"/>
  <c r="H42" i="15"/>
  <c r="H89" i="15"/>
  <c r="H31" i="15"/>
  <c r="H94" i="15"/>
  <c r="H68" i="15"/>
  <c r="AE779" i="22" l="1"/>
  <c r="AE780" i="22"/>
  <c r="AE781" i="22"/>
  <c r="AE782" i="22"/>
  <c r="AE783" i="22"/>
  <c r="AE784" i="22"/>
  <c r="AE785" i="22"/>
  <c r="AE786" i="22"/>
  <c r="AE787" i="22"/>
  <c r="AE788" i="22"/>
  <c r="AE789" i="22"/>
  <c r="AD781" i="22"/>
  <c r="AD784" i="22"/>
  <c r="AD786" i="22"/>
  <c r="AD789" i="22"/>
  <c r="AD779" i="22"/>
  <c r="AD783" i="22"/>
  <c r="AD787" i="22"/>
  <c r="AD778" i="22"/>
  <c r="AC779" i="22"/>
  <c r="AC780" i="22"/>
  <c r="AC781" i="22"/>
  <c r="AC782" i="22"/>
  <c r="AC783" i="22"/>
  <c r="AC784" i="22"/>
  <c r="AC785" i="22"/>
  <c r="AC786" i="22"/>
  <c r="AC787" i="22"/>
  <c r="AC788" i="22"/>
  <c r="AC789" i="22"/>
  <c r="AE778" i="22"/>
  <c r="AD780" i="22"/>
  <c r="AD782" i="22"/>
  <c r="AD785" i="22"/>
  <c r="AD788" i="22"/>
  <c r="AE791" i="22"/>
  <c r="AD792" i="22"/>
  <c r="AC793" i="22"/>
  <c r="AE795" i="22"/>
  <c r="AD796" i="22"/>
  <c r="AC797" i="22"/>
  <c r="AE799" i="22"/>
  <c r="AD800" i="22"/>
  <c r="AC801" i="22"/>
  <c r="AC790" i="22"/>
  <c r="AC792" i="22"/>
  <c r="AD795" i="22"/>
  <c r="AE798" i="22"/>
  <c r="AC800" i="22"/>
  <c r="AD790" i="22"/>
  <c r="AE792" i="22"/>
  <c r="AD793" i="22"/>
  <c r="AC794" i="22"/>
  <c r="AE796" i="22"/>
  <c r="AD797" i="22"/>
  <c r="AC798" i="22"/>
  <c r="AE800" i="22"/>
  <c r="AD801" i="22"/>
  <c r="AD791" i="22"/>
  <c r="AE794" i="22"/>
  <c r="AC796" i="22"/>
  <c r="AD799" i="22"/>
  <c r="AC791" i="22"/>
  <c r="AE793" i="22"/>
  <c r="AD794" i="22"/>
  <c r="AC795" i="22"/>
  <c r="AE797" i="22"/>
  <c r="AD798" i="22"/>
  <c r="AC799" i="22"/>
  <c r="AE801" i="22"/>
  <c r="AE790" i="22"/>
  <c r="G86" i="15"/>
  <c r="F81" i="15"/>
  <c r="E81" i="15"/>
  <c r="G85" i="15"/>
  <c r="I778" i="22" l="1"/>
  <c r="AC778" i="22" s="1"/>
  <c r="G17" i="1"/>
  <c r="AD106" i="22" s="1"/>
  <c r="I19" i="2"/>
  <c r="G19" i="1"/>
  <c r="AE106" i="22" l="1"/>
  <c r="I18" i="2"/>
  <c r="AC111" i="22"/>
  <c r="AD107" i="22"/>
  <c r="AC114" i="22"/>
  <c r="AE112" i="22"/>
  <c r="AD113" i="22"/>
  <c r="AD117" i="22"/>
  <c r="AD109" i="22"/>
  <c r="AE110" i="22"/>
  <c r="AC139" i="22"/>
  <c r="AD141" i="22"/>
  <c r="AD132" i="22"/>
  <c r="AE139" i="22"/>
  <c r="AC137" i="22"/>
  <c r="AE134" i="22"/>
  <c r="G19" i="15"/>
  <c r="AE132" i="22"/>
  <c r="AC141" i="22"/>
  <c r="AD138" i="22"/>
  <c r="AD130" i="22"/>
  <c r="AE141" i="22"/>
  <c r="AD137" i="22"/>
  <c r="AE140" i="22"/>
  <c r="AD135" i="22"/>
  <c r="AD139" i="22"/>
  <c r="AE138" i="22"/>
  <c r="AC131" i="22"/>
  <c r="AC138" i="22"/>
  <c r="AD134" i="22"/>
  <c r="AC130" i="22"/>
  <c r="AE133" i="22"/>
  <c r="AD133" i="22"/>
  <c r="AE131" i="22"/>
  <c r="AC134" i="22"/>
  <c r="AE137" i="22"/>
  <c r="AD140" i="22"/>
  <c r="AE135" i="22"/>
  <c r="AC133" i="22"/>
  <c r="AE130" i="22"/>
  <c r="AC140" i="22"/>
  <c r="AD136" i="22"/>
  <c r="AE136" i="22"/>
  <c r="AC132" i="22"/>
  <c r="AD131" i="22"/>
  <c r="AC135" i="22"/>
  <c r="AC136" i="22"/>
  <c r="E17" i="1"/>
  <c r="E17" i="15" s="1"/>
  <c r="F17" i="1"/>
  <c r="F17" i="15" s="1"/>
  <c r="AD111" i="22"/>
  <c r="AE114" i="22"/>
  <c r="AD108" i="22"/>
  <c r="AD116" i="22"/>
  <c r="AE107" i="22"/>
  <c r="AE113" i="22"/>
  <c r="AC109" i="22"/>
  <c r="AE111" i="22"/>
  <c r="AE117" i="22"/>
  <c r="AC113" i="22"/>
  <c r="AD110" i="22"/>
  <c r="AE108" i="22"/>
  <c r="AD112" i="22"/>
  <c r="AC106" i="22"/>
  <c r="G17" i="15"/>
  <c r="AC110" i="22"/>
  <c r="AE109" i="22"/>
  <c r="AC116" i="22"/>
  <c r="AC108" i="22"/>
  <c r="H17" i="1"/>
  <c r="H17" i="15" s="1"/>
  <c r="G18" i="1"/>
  <c r="AE115" i="22"/>
  <c r="AC115" i="22"/>
  <c r="AD115" i="22"/>
  <c r="AC107" i="22"/>
  <c r="AE116" i="22"/>
  <c r="AC112" i="22"/>
  <c r="AD114" i="22"/>
  <c r="AC117" i="22"/>
  <c r="AE120" i="22" l="1"/>
  <c r="AD120" i="22"/>
  <c r="AD126" i="22"/>
  <c r="AE123" i="22"/>
  <c r="AC122" i="22"/>
  <c r="AD118" i="22"/>
  <c r="AE129" i="22"/>
  <c r="AE126" i="22"/>
  <c r="AC119" i="22"/>
  <c r="AD128" i="22"/>
  <c r="AC129" i="22"/>
  <c r="AD122" i="22"/>
  <c r="AC124" i="22"/>
  <c r="AC123" i="22"/>
  <c r="AD129" i="22"/>
  <c r="AD124" i="22"/>
  <c r="AD119" i="22"/>
  <c r="AE128" i="22"/>
  <c r="AE124" i="22"/>
  <c r="AC125" i="22"/>
  <c r="AC121" i="22"/>
  <c r="AC120" i="22"/>
  <c r="AD121" i="22"/>
  <c r="AD123" i="22"/>
  <c r="AD127" i="22"/>
  <c r="AE125" i="22"/>
  <c r="AC127" i="22"/>
  <c r="AD125" i="22"/>
  <c r="AE122" i="22"/>
  <c r="AE119" i="22"/>
  <c r="AC118" i="22"/>
  <c r="AE118" i="22"/>
  <c r="AE127" i="22"/>
  <c r="AC128" i="22"/>
  <c r="G18" i="15"/>
  <c r="AC126" i="22"/>
  <c r="AE121" i="22"/>
  <c r="G16" i="1"/>
  <c r="I16" i="2"/>
  <c r="AE97" i="22" l="1"/>
  <c r="AD96" i="22"/>
  <c r="AC104" i="22"/>
  <c r="G16" i="15"/>
  <c r="AD104" i="22"/>
  <c r="AC102" i="22"/>
  <c r="AC100" i="22"/>
  <c r="AC103" i="22"/>
  <c r="AD101" i="22"/>
  <c r="AC97" i="22"/>
  <c r="AC98" i="22"/>
  <c r="AD94" i="22"/>
  <c r="AE99" i="22"/>
  <c r="AD98" i="22"/>
  <c r="AD105" i="22"/>
  <c r="AD97" i="22"/>
  <c r="AE94" i="22"/>
  <c r="AE96" i="22"/>
  <c r="AC94" i="22"/>
  <c r="AD99" i="22"/>
  <c r="AC96" i="22"/>
  <c r="AE104" i="22"/>
  <c r="AE105" i="22"/>
  <c r="AD95" i="22"/>
  <c r="AE98" i="22"/>
  <c r="AC101" i="22"/>
  <c r="AE101" i="22"/>
  <c r="AE103" i="22"/>
  <c r="AC95" i="22"/>
  <c r="AC105" i="22"/>
  <c r="AE95" i="22"/>
  <c r="AD102" i="22"/>
  <c r="AE102" i="22"/>
  <c r="AE100" i="22"/>
  <c r="AD103" i="22"/>
  <c r="AC99" i="22"/>
  <c r="AD100" i="22"/>
  <c r="AF467" i="22" l="1"/>
  <c r="AF463" i="22"/>
  <c r="AF491" i="22"/>
  <c r="AF507" i="22"/>
  <c r="AF523" i="22"/>
  <c r="AF539" i="22"/>
  <c r="AF555" i="22"/>
  <c r="AF571" i="22"/>
  <c r="AF587" i="22"/>
  <c r="AF603" i="22"/>
  <c r="AF619" i="22"/>
  <c r="AF635" i="22"/>
  <c r="AF651" i="22"/>
  <c r="AF667" i="22"/>
  <c r="AF683" i="22"/>
  <c r="AF699" i="22"/>
  <c r="AF715" i="22"/>
  <c r="AF731" i="22"/>
  <c r="AF747" i="22"/>
  <c r="AF763" i="22"/>
  <c r="AF476" i="22"/>
  <c r="AF456" i="22"/>
  <c r="AF484" i="22"/>
  <c r="AF500" i="22"/>
  <c r="AF516" i="22"/>
  <c r="AF532" i="22"/>
  <c r="AF548" i="22"/>
  <c r="AF564" i="22"/>
  <c r="AF580" i="22"/>
  <c r="AF596" i="22"/>
  <c r="AF612" i="22"/>
  <c r="AF628" i="22"/>
  <c r="AF644" i="22"/>
  <c r="AF660" i="22"/>
  <c r="AF676" i="22"/>
  <c r="AF692" i="22"/>
  <c r="AF708" i="22"/>
  <c r="AF724" i="22"/>
  <c r="AF477" i="22"/>
  <c r="AF473" i="22"/>
  <c r="AF505" i="22"/>
  <c r="AF537" i="22"/>
  <c r="AF569" i="22"/>
  <c r="AF601" i="22"/>
  <c r="AF633" i="22"/>
  <c r="AF665" i="22"/>
  <c r="AF697" i="22"/>
  <c r="AF729" i="22"/>
  <c r="AF752" i="22"/>
  <c r="AF776" i="22"/>
  <c r="AF836" i="22"/>
  <c r="AF852" i="22"/>
  <c r="AF868" i="22"/>
  <c r="AF501" i="22"/>
  <c r="AF573" i="22"/>
  <c r="AF474" i="22"/>
  <c r="AF506" i="22"/>
  <c r="AF538" i="22"/>
  <c r="AF570" i="22"/>
  <c r="AF602" i="22"/>
  <c r="AF634" i="22"/>
  <c r="AF666" i="22"/>
  <c r="AF698" i="22"/>
  <c r="AF730" i="22"/>
  <c r="AF753" i="22"/>
  <c r="AF777" i="22"/>
  <c r="AF837" i="22"/>
  <c r="AF853" i="22"/>
  <c r="AF869" i="22"/>
  <c r="AF493" i="22"/>
  <c r="AF549" i="22"/>
  <c r="AF605" i="22"/>
  <c r="AF598" i="22"/>
  <c r="AF670" i="22"/>
  <c r="AF734" i="22"/>
  <c r="AF471" i="22"/>
  <c r="AF455" i="22"/>
  <c r="AF487" i="22"/>
  <c r="AF511" i="22"/>
  <c r="AF531" i="22"/>
  <c r="AF551" i="22"/>
  <c r="AF575" i="22"/>
  <c r="AF595" i="22"/>
  <c r="AF615" i="22"/>
  <c r="AF639" i="22"/>
  <c r="AF659" i="22"/>
  <c r="AF679" i="22"/>
  <c r="AF703" i="22"/>
  <c r="AF723" i="22"/>
  <c r="AF743" i="22"/>
  <c r="AF480" i="22"/>
  <c r="AF504" i="22"/>
  <c r="AF524" i="22"/>
  <c r="AF544" i="22"/>
  <c r="AF568" i="22"/>
  <c r="AF588" i="22"/>
  <c r="AF608" i="22"/>
  <c r="AF632" i="22"/>
  <c r="AF652" i="22"/>
  <c r="AF672" i="22"/>
  <c r="AF696" i="22"/>
  <c r="AF716" i="22"/>
  <c r="AF469" i="22"/>
  <c r="AF481" i="22"/>
  <c r="AF521" i="22"/>
  <c r="AF561" i="22"/>
  <c r="AF609" i="22"/>
  <c r="AF649" i="22"/>
  <c r="AF689" i="22"/>
  <c r="AF736" i="22"/>
  <c r="AF762" i="22"/>
  <c r="AF772" i="22"/>
  <c r="AF828" i="22"/>
  <c r="AF848" i="22"/>
  <c r="AF872" i="22"/>
  <c r="AF541" i="22"/>
  <c r="AF470" i="22"/>
  <c r="AF482" i="22"/>
  <c r="AF522" i="22"/>
  <c r="AF562" i="22"/>
  <c r="AF610" i="22"/>
  <c r="AF650" i="22"/>
  <c r="AF690" i="22"/>
  <c r="AF737" i="22"/>
  <c r="AF764" i="22"/>
  <c r="AF773" i="22"/>
  <c r="AF829" i="22"/>
  <c r="AF849" i="22"/>
  <c r="AF873" i="22"/>
  <c r="AF525" i="22"/>
  <c r="AF589" i="22"/>
  <c r="AF622" i="22"/>
  <c r="AF702" i="22"/>
  <c r="AF847" i="22"/>
  <c r="AF486" i="22"/>
  <c r="AF613" i="22"/>
  <c r="AF678" i="22"/>
  <c r="AF740" i="22"/>
  <c r="AF767" i="22"/>
  <c r="AF843" i="22"/>
  <c r="AF462" i="22"/>
  <c r="AF590" i="22"/>
  <c r="AF669" i="22"/>
  <c r="AF733" i="22"/>
  <c r="AF838" i="22"/>
  <c r="AF870" i="22"/>
  <c r="AF542" i="22"/>
  <c r="AF645" i="22"/>
  <c r="AF709" i="22"/>
  <c r="AF760" i="22"/>
  <c r="AF826" i="22"/>
  <c r="AF858" i="22"/>
  <c r="AF875" i="22"/>
  <c r="AF543" i="22"/>
  <c r="AF735" i="22"/>
  <c r="AF831" i="22"/>
  <c r="AF499" i="22"/>
  <c r="AF691" i="22"/>
  <c r="AF775" i="22"/>
  <c r="AF883" i="22"/>
  <c r="AF647" i="22"/>
  <c r="AF839" i="22"/>
  <c r="AF891" i="22"/>
  <c r="AF559" i="22"/>
  <c r="AF655" i="22"/>
  <c r="AF751" i="22"/>
  <c r="AF492" i="22"/>
  <c r="AF684" i="22"/>
  <c r="AF768" i="22"/>
  <c r="AF876" i="22"/>
  <c r="AF640" i="22"/>
  <c r="AF832" i="22"/>
  <c r="AF884" i="22"/>
  <c r="AF552" i="22"/>
  <c r="AF648" i="22"/>
  <c r="AF744" i="22"/>
  <c r="AF840" i="22"/>
  <c r="AF508" i="22"/>
  <c r="AF604" i="22"/>
  <c r="AF700" i="22"/>
  <c r="AF892" i="22"/>
  <c r="AF464" i="22"/>
  <c r="AF560" i="22"/>
  <c r="AF656" i="22"/>
  <c r="AF685" i="22"/>
  <c r="AF769" i="22"/>
  <c r="AF877" i="22"/>
  <c r="AF545" i="22"/>
  <c r="AF641" i="22"/>
  <c r="AF833" i="22"/>
  <c r="AF597" i="22"/>
  <c r="AF693" i="22"/>
  <c r="AF885" i="22"/>
  <c r="AF457" i="22"/>
  <c r="AF553" i="22"/>
  <c r="AF745" i="22"/>
  <c r="AF841" i="22"/>
  <c r="AF509" i="22"/>
  <c r="AF701" i="22"/>
  <c r="AF459" i="22"/>
  <c r="AF527" i="22"/>
  <c r="AF583" i="22"/>
  <c r="AF611" i="22"/>
  <c r="AF643" i="22"/>
  <c r="AF671" i="22"/>
  <c r="AF695" i="22"/>
  <c r="AF727" i="22"/>
  <c r="AF755" i="22"/>
  <c r="AF488" i="22"/>
  <c r="AF512" i="22"/>
  <c r="AF540" i="22"/>
  <c r="AF572" i="22"/>
  <c r="AF600" i="22"/>
  <c r="AF624" i="22"/>
  <c r="AF712" i="22"/>
  <c r="AF497" i="22"/>
  <c r="AF617" i="22"/>
  <c r="AF673" i="22"/>
  <c r="AF721" i="22"/>
  <c r="AF856" i="22"/>
  <c r="AF485" i="22"/>
  <c r="AF621" i="22"/>
  <c r="AF490" i="22"/>
  <c r="AF546" i="22"/>
  <c r="AF594" i="22"/>
  <c r="AF658" i="22"/>
  <c r="AF714" i="22"/>
  <c r="AF758" i="22"/>
  <c r="AF845" i="22"/>
  <c r="AF565" i="22"/>
  <c r="AF566" i="22"/>
  <c r="AF718" i="22"/>
  <c r="AF518" i="22"/>
  <c r="AF646" i="22"/>
  <c r="AF726" i="22"/>
  <c r="AF827" i="22"/>
  <c r="AF867" i="22"/>
  <c r="AF614" i="22"/>
  <c r="AF765" i="22"/>
  <c r="AF814" i="22"/>
  <c r="AF854" i="22"/>
  <c r="AF510" i="22"/>
  <c r="AF661" i="22"/>
  <c r="AF738" i="22"/>
  <c r="AF774" i="22"/>
  <c r="AF834" i="22"/>
  <c r="AF563" i="22"/>
  <c r="AF707" i="22"/>
  <c r="AF519" i="22"/>
  <c r="AF663" i="22"/>
  <c r="AF771" i="22"/>
  <c r="AF475" i="22"/>
  <c r="AF739" i="22"/>
  <c r="AF859" i="22"/>
  <c r="AF479" i="22"/>
  <c r="AF599" i="22"/>
  <c r="AF719" i="22"/>
  <c r="AF863" i="22"/>
  <c r="AF579" i="22"/>
  <c r="AF503" i="22"/>
  <c r="AF623" i="22"/>
  <c r="AF468" i="22"/>
  <c r="AF520" i="22"/>
  <c r="AF556" i="22"/>
  <c r="AF592" i="22"/>
  <c r="AF636" i="22"/>
  <c r="AF668" i="22"/>
  <c r="AF704" i="22"/>
  <c r="AF529" i="22"/>
  <c r="AF593" i="22"/>
  <c r="AF681" i="22"/>
  <c r="AF746" i="22"/>
  <c r="AF864" i="22"/>
  <c r="AF498" i="22"/>
  <c r="AF578" i="22"/>
  <c r="AF642" i="22"/>
  <c r="AF722" i="22"/>
  <c r="AF857" i="22"/>
  <c r="AF534" i="22"/>
  <c r="AF871" i="22"/>
  <c r="AF662" i="22"/>
  <c r="AF761" i="22"/>
  <c r="AF494" i="22"/>
  <c r="AF653" i="22"/>
  <c r="AF754" i="22"/>
  <c r="AF629" i="22"/>
  <c r="AF749" i="22"/>
  <c r="AF866" i="22"/>
  <c r="AF495" i="22"/>
  <c r="AF687" i="22"/>
  <c r="AF855" i="22"/>
  <c r="AF535" i="22"/>
  <c r="AF756" i="22"/>
  <c r="AF472" i="22"/>
  <c r="AF528" i="22"/>
  <c r="AF483" i="22"/>
  <c r="AF591" i="22"/>
  <c r="AF631" i="22"/>
  <c r="AF616" i="22"/>
  <c r="AF664" i="22"/>
  <c r="AF720" i="22"/>
  <c r="AF489" i="22"/>
  <c r="AF585" i="22"/>
  <c r="AF705" i="22"/>
  <c r="AF458" i="22"/>
  <c r="AF554" i="22"/>
  <c r="AF674" i="22"/>
  <c r="AF748" i="22"/>
  <c r="AF861" i="22"/>
  <c r="AF581" i="22"/>
  <c r="AF686" i="22"/>
  <c r="AF582" i="22"/>
  <c r="AF750" i="22"/>
  <c r="AF835" i="22"/>
  <c r="AF558" i="22"/>
  <c r="AF830" i="22"/>
  <c r="AF574" i="22"/>
  <c r="AF725" i="22"/>
  <c r="AF515" i="22"/>
  <c r="AF567" i="22"/>
  <c r="AF759" i="22"/>
  <c r="AF547" i="22"/>
  <c r="AF607" i="22"/>
  <c r="AF460" i="22"/>
  <c r="AF584" i="22"/>
  <c r="AF517" i="22"/>
  <c r="AF637" i="22"/>
  <c r="AF757" i="22"/>
  <c r="AF713" i="22"/>
  <c r="AF533" i="22"/>
  <c r="AF618" i="22"/>
  <c r="AF466" i="22"/>
  <c r="AF526" i="22"/>
  <c r="AF630" i="22"/>
  <c r="AF514" i="22"/>
  <c r="AF706" i="22"/>
  <c r="AF802" i="22"/>
  <c r="AF576" i="22"/>
  <c r="AF620" i="22"/>
  <c r="AF680" i="22"/>
  <c r="AF728" i="22"/>
  <c r="AF513" i="22"/>
  <c r="AF625" i="22"/>
  <c r="AF586" i="22"/>
  <c r="AF682" i="22"/>
  <c r="AF865" i="22"/>
  <c r="AF502" i="22"/>
  <c r="AF851" i="22"/>
  <c r="AF770" i="22"/>
  <c r="AF846" i="22"/>
  <c r="AF606" i="22"/>
  <c r="AF842" i="22"/>
  <c r="AF675" i="22"/>
  <c r="AF711" i="22"/>
  <c r="AF688" i="22"/>
  <c r="AF741" i="22"/>
  <c r="AF844" i="22"/>
  <c r="AF638" i="22"/>
  <c r="AF862" i="22"/>
  <c r="AF766" i="22"/>
  <c r="AF860" i="22"/>
  <c r="AF461" i="22"/>
  <c r="AF657" i="22"/>
  <c r="AF897" i="22"/>
  <c r="AF710" i="22"/>
  <c r="AF694" i="22"/>
  <c r="AF627" i="22"/>
  <c r="AF496" i="22"/>
  <c r="AF577" i="22"/>
  <c r="AF530" i="22"/>
  <c r="AF742" i="22"/>
  <c r="AF654" i="22"/>
  <c r="AF550" i="22"/>
  <c r="AF717" i="22"/>
  <c r="AF478" i="22"/>
  <c r="L448" i="22"/>
  <c r="AF448" i="22" s="1"/>
  <c r="AF880" i="22"/>
  <c r="AF677" i="22"/>
  <c r="AF878" i="22"/>
  <c r="AF850" i="22"/>
  <c r="AF536" i="22"/>
  <c r="AF732" i="22"/>
  <c r="AF557" i="22"/>
  <c r="AF881" i="22"/>
  <c r="AF882" i="22"/>
  <c r="L450" i="22"/>
  <c r="AF450" i="22" s="1"/>
  <c r="AF894" i="22"/>
  <c r="AF778" i="22"/>
  <c r="L447" i="22"/>
  <c r="AF447" i="22" s="1"/>
  <c r="AF879" i="22"/>
  <c r="L443" i="22"/>
  <c r="AF443" i="22" s="1"/>
  <c r="AF887" i="22"/>
  <c r="L452" i="22"/>
  <c r="AF452" i="22" s="1"/>
  <c r="AF896" i="22"/>
  <c r="L449" i="22"/>
  <c r="AF449" i="22" s="1"/>
  <c r="AF893" i="22"/>
  <c r="AF465" i="22"/>
  <c r="L453" i="22"/>
  <c r="AF453" i="22" s="1"/>
  <c r="AF626" i="22"/>
  <c r="L451" i="22"/>
  <c r="AF451" i="22" s="1"/>
  <c r="AF895" i="22"/>
  <c r="L444" i="22"/>
  <c r="AF444" i="22" s="1"/>
  <c r="AF888" i="22"/>
  <c r="L445" i="22"/>
  <c r="AF445" i="22" s="1"/>
  <c r="AF889" i="22"/>
  <c r="L454" i="22"/>
  <c r="AF454" i="22" s="1"/>
  <c r="AF886" i="22"/>
  <c r="L446" i="22"/>
  <c r="AF446" i="22" s="1"/>
  <c r="AF890" i="22"/>
  <c r="L442" i="22"/>
  <c r="AF442" i="22" s="1"/>
  <c r="AF874" i="22"/>
  <c r="AG671" i="22"/>
  <c r="AG673" i="22"/>
  <c r="AG675" i="22"/>
  <c r="AG677" i="22"/>
  <c r="AG679" i="22"/>
  <c r="AG681" i="22"/>
  <c r="AG683" i="22"/>
  <c r="AG685" i="22"/>
  <c r="AG687" i="22"/>
  <c r="AG689" i="22"/>
  <c r="AG691" i="22"/>
  <c r="AG693" i="22"/>
  <c r="AG635" i="22"/>
  <c r="AG637" i="22"/>
  <c r="AG639" i="22"/>
  <c r="AG641" i="22"/>
  <c r="AL672" i="22"/>
  <c r="AL674" i="22"/>
  <c r="AL676" i="22"/>
  <c r="AL678" i="22"/>
  <c r="AL680" i="22"/>
  <c r="AL682" i="22"/>
  <c r="AI674" i="22"/>
  <c r="AI678" i="22"/>
  <c r="AI682" i="22"/>
  <c r="AH685" i="22"/>
  <c r="AM687" i="22"/>
  <c r="AJ690" i="22"/>
  <c r="AH693" i="22"/>
  <c r="AH637" i="22"/>
  <c r="AM639" i="22"/>
  <c r="AH642" i="22"/>
  <c r="AH644" i="22"/>
  <c r="AH646" i="22"/>
  <c r="AH648" i="22"/>
  <c r="AH650" i="22"/>
  <c r="AH652" i="22"/>
  <c r="AJ672" i="22"/>
  <c r="AJ676" i="22"/>
  <c r="AJ680" i="22"/>
  <c r="AN683" i="22"/>
  <c r="AL686" i="22"/>
  <c r="AI689" i="22"/>
  <c r="AN691" i="22"/>
  <c r="AN635" i="22"/>
  <c r="AL638" i="22"/>
  <c r="AI641" i="22"/>
  <c r="AI643" i="22"/>
  <c r="AI645" i="22"/>
  <c r="AI647" i="22"/>
  <c r="AI649" i="22"/>
  <c r="AI651" i="22"/>
  <c r="AI653" i="22"/>
  <c r="AM671" i="22"/>
  <c r="AM675" i="22"/>
  <c r="AM679" i="22"/>
  <c r="AJ683" i="22"/>
  <c r="AH686" i="22"/>
  <c r="AM688" i="22"/>
  <c r="AJ691" i="22"/>
  <c r="AJ635" i="22"/>
  <c r="AH638" i="22"/>
  <c r="AM640" i="22"/>
  <c r="AN642" i="22"/>
  <c r="AK671" i="22"/>
  <c r="AK673" i="22"/>
  <c r="AK675" i="22"/>
  <c r="AK677" i="22"/>
  <c r="AK679" i="22"/>
  <c r="AK681" i="22"/>
  <c r="AK683" i="22"/>
  <c r="AK685" i="22"/>
  <c r="AK687" i="22"/>
  <c r="AK689" i="22"/>
  <c r="AK691" i="22"/>
  <c r="AK693" i="22"/>
  <c r="AK635" i="22"/>
  <c r="AK637" i="22"/>
  <c r="AK639" i="22"/>
  <c r="AH671" i="22"/>
  <c r="AH673" i="22"/>
  <c r="AH675" i="22"/>
  <c r="AH677" i="22"/>
  <c r="AH679" i="22"/>
  <c r="AH681" i="22"/>
  <c r="AI671" i="22"/>
  <c r="AI675" i="22"/>
  <c r="AI679" i="22"/>
  <c r="AH683" i="22"/>
  <c r="AM685" i="22"/>
  <c r="AJ688" i="22"/>
  <c r="AH691" i="22"/>
  <c r="AM693" i="22"/>
  <c r="AH635" i="22"/>
  <c r="AM637" i="22"/>
  <c r="AJ640" i="22"/>
  <c r="AL642" i="22"/>
  <c r="AL644" i="22"/>
  <c r="AL646" i="22"/>
  <c r="AL648" i="22"/>
  <c r="AL650" i="22"/>
  <c r="AL652" i="22"/>
  <c r="AJ673" i="22"/>
  <c r="AJ677" i="22"/>
  <c r="AJ681" i="22"/>
  <c r="AL684" i="22"/>
  <c r="AI687" i="22"/>
  <c r="AN689" i="22"/>
  <c r="AL692" i="22"/>
  <c r="AL636" i="22"/>
  <c r="AI639" i="22"/>
  <c r="AM641" i="22"/>
  <c r="AM643" i="22"/>
  <c r="AM645" i="22"/>
  <c r="AM647" i="22"/>
  <c r="AM649" i="22"/>
  <c r="AM651" i="22"/>
  <c r="AM653" i="22"/>
  <c r="AM672" i="22"/>
  <c r="AM676" i="22"/>
  <c r="AM680" i="22"/>
  <c r="AH684" i="22"/>
  <c r="AM686" i="22"/>
  <c r="AJ689" i="22"/>
  <c r="AH692" i="22"/>
  <c r="AH636" i="22"/>
  <c r="AM638" i="22"/>
  <c r="AJ641" i="22"/>
  <c r="AJ643" i="22"/>
  <c r="AG672" i="22"/>
  <c r="AG674" i="22"/>
  <c r="AG676" i="22"/>
  <c r="AG678" i="22"/>
  <c r="AG680" i="22"/>
  <c r="AG682" i="22"/>
  <c r="AG684" i="22"/>
  <c r="AG686" i="22"/>
  <c r="AG688" i="22"/>
  <c r="AG690" i="22"/>
  <c r="AG692" i="22"/>
  <c r="AG636" i="22"/>
  <c r="AG638" i="22"/>
  <c r="AG640" i="22"/>
  <c r="AL671" i="22"/>
  <c r="AL673" i="22"/>
  <c r="AL675" i="22"/>
  <c r="AL677" i="22"/>
  <c r="AL679" i="22"/>
  <c r="AL681" i="22"/>
  <c r="AI672" i="22"/>
  <c r="AI676" i="22"/>
  <c r="AI680" i="22"/>
  <c r="AM683" i="22"/>
  <c r="AJ686" i="22"/>
  <c r="AH689" i="22"/>
  <c r="AM691" i="22"/>
  <c r="AM635" i="22"/>
  <c r="AJ638" i="22"/>
  <c r="AH641" i="22"/>
  <c r="AH643" i="22"/>
  <c r="AH645" i="22"/>
  <c r="AH647" i="22"/>
  <c r="AH649" i="22"/>
  <c r="AH651" i="22"/>
  <c r="AH653" i="22"/>
  <c r="AJ674" i="22"/>
  <c r="AJ678" i="22"/>
  <c r="AJ682" i="22"/>
  <c r="AI685" i="22"/>
  <c r="AN687" i="22"/>
  <c r="AL690" i="22"/>
  <c r="AI693" i="22"/>
  <c r="AI637" i="22"/>
  <c r="AN639" i="22"/>
  <c r="AI642" i="22"/>
  <c r="AI644" i="22"/>
  <c r="AI646" i="22"/>
  <c r="AI648" i="22"/>
  <c r="AI650" i="22"/>
  <c r="AI652" i="22"/>
  <c r="AI654" i="22"/>
  <c r="AM673" i="22"/>
  <c r="AM677" i="22"/>
  <c r="AM681" i="22"/>
  <c r="AM684" i="22"/>
  <c r="AJ687" i="22"/>
  <c r="AH690" i="22"/>
  <c r="AM692" i="22"/>
  <c r="AM636" i="22"/>
  <c r="AJ639" i="22"/>
  <c r="AN641" i="22"/>
  <c r="AN643" i="22"/>
  <c r="AK672" i="22"/>
  <c r="AK674" i="22"/>
  <c r="AK676" i="22"/>
  <c r="AK678" i="22"/>
  <c r="AK680" i="22"/>
  <c r="AK682" i="22"/>
  <c r="AK684" i="22"/>
  <c r="AK686" i="22"/>
  <c r="AK688" i="22"/>
  <c r="AK690" i="22"/>
  <c r="AK692" i="22"/>
  <c r="AK636" i="22"/>
  <c r="AK638" i="22"/>
  <c r="AK640" i="22"/>
  <c r="AH672" i="22"/>
  <c r="AH674" i="22"/>
  <c r="AH676" i="22"/>
  <c r="AH678" i="22"/>
  <c r="AH680" i="22"/>
  <c r="AH682" i="22"/>
  <c r="AI673" i="22"/>
  <c r="AI677" i="22"/>
  <c r="AI681" i="22"/>
  <c r="AJ684" i="22"/>
  <c r="AH687" i="22"/>
  <c r="AM689" i="22"/>
  <c r="AJ692" i="22"/>
  <c r="AJ636" i="22"/>
  <c r="AH639" i="22"/>
  <c r="AL641" i="22"/>
  <c r="AL643" i="22"/>
  <c r="AL645" i="22"/>
  <c r="AL647" i="22"/>
  <c r="AL649" i="22"/>
  <c r="AL651" i="22"/>
  <c r="AJ671" i="22"/>
  <c r="AJ675" i="22"/>
  <c r="AJ679" i="22"/>
  <c r="AI683" i="22"/>
  <c r="AN685" i="22"/>
  <c r="AL688" i="22"/>
  <c r="AI691" i="22"/>
  <c r="AN693" i="22"/>
  <c r="AI635" i="22"/>
  <c r="AN637" i="22"/>
  <c r="AL640" i="22"/>
  <c r="AM642" i="22"/>
  <c r="AM644" i="22"/>
  <c r="AM646" i="22"/>
  <c r="AM648" i="22"/>
  <c r="AM650" i="22"/>
  <c r="AM652" i="22"/>
  <c r="AM654" i="22"/>
  <c r="AM674" i="22"/>
  <c r="AM678" i="22"/>
  <c r="AM682" i="22"/>
  <c r="AJ685" i="22"/>
  <c r="AH688" i="22"/>
  <c r="AM690" i="22"/>
  <c r="AJ693" i="22"/>
  <c r="AJ637" i="22"/>
  <c r="AH640" i="22"/>
  <c r="AJ642" i="22"/>
  <c r="AJ644" i="22"/>
  <c r="AJ646" i="22"/>
  <c r="AJ648" i="22"/>
  <c r="AJ650" i="22"/>
  <c r="AJ652" i="22"/>
  <c r="AJ654" i="22"/>
  <c r="AN679" i="22"/>
  <c r="AL691" i="22"/>
  <c r="AN640" i="22"/>
  <c r="AG649" i="22"/>
  <c r="AH655" i="22"/>
  <c r="AH657" i="22"/>
  <c r="AH659" i="22"/>
  <c r="AH661" i="22"/>
  <c r="AH663" i="22"/>
  <c r="AH665" i="22"/>
  <c r="AH667" i="22"/>
  <c r="AH669" i="22"/>
  <c r="AL685" i="22"/>
  <c r="AH694" i="22"/>
  <c r="AH696" i="22"/>
  <c r="AH698" i="22"/>
  <c r="AH700" i="22"/>
  <c r="AH702" i="22"/>
  <c r="AH704" i="22"/>
  <c r="AH706" i="22"/>
  <c r="AH708" i="22"/>
  <c r="AH710" i="22"/>
  <c r="AH712" i="22"/>
  <c r="AH714" i="22"/>
  <c r="AH716" i="22"/>
  <c r="AH718" i="22"/>
  <c r="AH720" i="22"/>
  <c r="AH722" i="22"/>
  <c r="AH724" i="22"/>
  <c r="AH726" i="22"/>
  <c r="AH728" i="22"/>
  <c r="AI684" i="22"/>
  <c r="AI636" i="22"/>
  <c r="AK645" i="22"/>
  <c r="AK653" i="22"/>
  <c r="AI656" i="22"/>
  <c r="AI658" i="22"/>
  <c r="AI660" i="22"/>
  <c r="AI662" i="22"/>
  <c r="AI664" i="22"/>
  <c r="AI666" i="22"/>
  <c r="AI668" i="22"/>
  <c r="AN677" i="22"/>
  <c r="AN692" i="22"/>
  <c r="AG642" i="22"/>
  <c r="AG650" i="22"/>
  <c r="AJ655" i="22"/>
  <c r="AJ657" i="22"/>
  <c r="AJ659" i="22"/>
  <c r="AJ661" i="22"/>
  <c r="AJ663" i="22"/>
  <c r="AJ665" i="22"/>
  <c r="AJ667" i="22"/>
  <c r="AJ669" i="22"/>
  <c r="AN674" i="22"/>
  <c r="AJ694" i="22"/>
  <c r="AJ696" i="22"/>
  <c r="AJ698" i="22"/>
  <c r="AJ700" i="22"/>
  <c r="AJ702" i="22"/>
  <c r="AJ704" i="22"/>
  <c r="AJ706" i="22"/>
  <c r="AJ708" i="22"/>
  <c r="AJ710" i="22"/>
  <c r="AJ712" i="22"/>
  <c r="AJ714" i="22"/>
  <c r="AJ716" i="22"/>
  <c r="AJ718" i="22"/>
  <c r="AJ720" i="22"/>
  <c r="AJ722" i="22"/>
  <c r="AJ724" i="22"/>
  <c r="AJ726" i="22"/>
  <c r="AJ728" i="22"/>
  <c r="AL637" i="22"/>
  <c r="AI640" i="22"/>
  <c r="AN644" i="22"/>
  <c r="AN646" i="22"/>
  <c r="AN648" i="22"/>
  <c r="AN650" i="22"/>
  <c r="AN652" i="22"/>
  <c r="AN654" i="22"/>
  <c r="AL683" i="22"/>
  <c r="AG643" i="22"/>
  <c r="AG651" i="22"/>
  <c r="AL655" i="22"/>
  <c r="AL657" i="22"/>
  <c r="AL659" i="22"/>
  <c r="AL661" i="22"/>
  <c r="AL663" i="22"/>
  <c r="AL665" i="22"/>
  <c r="AL667" i="22"/>
  <c r="AL669" i="22"/>
  <c r="AL687" i="22"/>
  <c r="AL694" i="22"/>
  <c r="AL696" i="22"/>
  <c r="AL698" i="22"/>
  <c r="AL700" i="22"/>
  <c r="AL702" i="22"/>
  <c r="AL704" i="22"/>
  <c r="AL706" i="22"/>
  <c r="AL708" i="22"/>
  <c r="AL710" i="22"/>
  <c r="AL712" i="22"/>
  <c r="AL714" i="22"/>
  <c r="AL716" i="22"/>
  <c r="AL718" i="22"/>
  <c r="AL720" i="22"/>
  <c r="AL722" i="22"/>
  <c r="AL724" i="22"/>
  <c r="AL726" i="22"/>
  <c r="AN672" i="22"/>
  <c r="AN686" i="22"/>
  <c r="AN638" i="22"/>
  <c r="AK647" i="22"/>
  <c r="AK654" i="22"/>
  <c r="AM656" i="22"/>
  <c r="AM658" i="22"/>
  <c r="AM660" i="22"/>
  <c r="AM662" i="22"/>
  <c r="AM664" i="22"/>
  <c r="AM666" i="22"/>
  <c r="AM668" i="22"/>
  <c r="AN681" i="22"/>
  <c r="AG644" i="22"/>
  <c r="AG652" i="22"/>
  <c r="AN655" i="22"/>
  <c r="AN657" i="22"/>
  <c r="AN659" i="22"/>
  <c r="AN661" i="22"/>
  <c r="AN663" i="22"/>
  <c r="AN665" i="22"/>
  <c r="AN667" i="22"/>
  <c r="AN669" i="22"/>
  <c r="AN678" i="22"/>
  <c r="AN694" i="22"/>
  <c r="AN696" i="22"/>
  <c r="AN698" i="22"/>
  <c r="AN700" i="22"/>
  <c r="AN702" i="22"/>
  <c r="AN704" i="22"/>
  <c r="AN706" i="22"/>
  <c r="AN708" i="22"/>
  <c r="AN710" i="22"/>
  <c r="AN712" i="22"/>
  <c r="AN714" i="22"/>
  <c r="AN716" i="22"/>
  <c r="AN718" i="22"/>
  <c r="AN720" i="22"/>
  <c r="AN722" i="22"/>
  <c r="AN724" i="22"/>
  <c r="AN726" i="22"/>
  <c r="AN728" i="22"/>
  <c r="AK646" i="22"/>
  <c r="AK648" i="22"/>
  <c r="AG661" i="22"/>
  <c r="AJ645" i="22"/>
  <c r="AJ647" i="22"/>
  <c r="AJ649" i="22"/>
  <c r="AJ651" i="22"/>
  <c r="AJ653" i="22"/>
  <c r="AN671" i="22"/>
  <c r="AI686" i="22"/>
  <c r="AL635" i="22"/>
  <c r="AG645" i="22"/>
  <c r="AG653" i="22"/>
  <c r="AH656" i="22"/>
  <c r="AH658" i="22"/>
  <c r="AH660" i="22"/>
  <c r="AH662" i="22"/>
  <c r="AH664" i="22"/>
  <c r="AH666" i="22"/>
  <c r="AH668" i="22"/>
  <c r="AH670" i="22"/>
  <c r="AL689" i="22"/>
  <c r="AH695" i="22"/>
  <c r="AH697" i="22"/>
  <c r="AH699" i="22"/>
  <c r="AH701" i="22"/>
  <c r="AH703" i="22"/>
  <c r="AH705" i="22"/>
  <c r="AH707" i="22"/>
  <c r="AH709" i="22"/>
  <c r="AH711" i="22"/>
  <c r="AH713" i="22"/>
  <c r="AH715" i="22"/>
  <c r="AH717" i="22"/>
  <c r="AH719" i="22"/>
  <c r="AH721" i="22"/>
  <c r="AH723" i="22"/>
  <c r="AH725" i="22"/>
  <c r="AH727" i="22"/>
  <c r="AN676" i="22"/>
  <c r="AI692" i="22"/>
  <c r="AK641" i="22"/>
  <c r="AK649" i="22"/>
  <c r="AI655" i="22"/>
  <c r="AI657" i="22"/>
  <c r="AI659" i="22"/>
  <c r="AI661" i="22"/>
  <c r="AI663" i="22"/>
  <c r="AI665" i="22"/>
  <c r="AI667" i="22"/>
  <c r="AI669" i="22"/>
  <c r="AN684" i="22"/>
  <c r="AN636" i="22"/>
  <c r="AG646" i="22"/>
  <c r="AL653" i="22"/>
  <c r="AJ656" i="22"/>
  <c r="AJ658" i="22"/>
  <c r="AJ660" i="22"/>
  <c r="AJ662" i="22"/>
  <c r="AJ664" i="22"/>
  <c r="AJ666" i="22"/>
  <c r="AJ668" i="22"/>
  <c r="AJ670" i="22"/>
  <c r="AN682" i="22"/>
  <c r="AJ695" i="22"/>
  <c r="AJ697" i="22"/>
  <c r="AJ699" i="22"/>
  <c r="AJ701" i="22"/>
  <c r="AJ703" i="22"/>
  <c r="AJ705" i="22"/>
  <c r="AJ707" i="22"/>
  <c r="AJ709" i="22"/>
  <c r="AJ711" i="22"/>
  <c r="AJ713" i="22"/>
  <c r="AJ715" i="22"/>
  <c r="AJ717" i="22"/>
  <c r="AJ719" i="22"/>
  <c r="AJ721" i="22"/>
  <c r="AJ723" i="22"/>
  <c r="AJ725" i="22"/>
  <c r="AJ727" i="22"/>
  <c r="AI688" i="22"/>
  <c r="AG654" i="22"/>
  <c r="AN645" i="22"/>
  <c r="AN647" i="22"/>
  <c r="AN649" i="22"/>
  <c r="AN651" i="22"/>
  <c r="AN653" i="22"/>
  <c r="AN675" i="22"/>
  <c r="AN688" i="22"/>
  <c r="AI638" i="22"/>
  <c r="AG647" i="22"/>
  <c r="AH654" i="22"/>
  <c r="AL656" i="22"/>
  <c r="AL658" i="22"/>
  <c r="AL660" i="22"/>
  <c r="AL662" i="22"/>
  <c r="AL664" i="22"/>
  <c r="AL666" i="22"/>
  <c r="AL668" i="22"/>
  <c r="AL670" i="22"/>
  <c r="AL693" i="22"/>
  <c r="AL695" i="22"/>
  <c r="AL697" i="22"/>
  <c r="AL699" i="22"/>
  <c r="AL701" i="22"/>
  <c r="AL703" i="22"/>
  <c r="AL705" i="22"/>
  <c r="AL707" i="22"/>
  <c r="AL709" i="22"/>
  <c r="AL711" i="22"/>
  <c r="AL713" i="22"/>
  <c r="AL715" i="22"/>
  <c r="AL717" i="22"/>
  <c r="AL719" i="22"/>
  <c r="AL721" i="22"/>
  <c r="AL723" i="22"/>
  <c r="AL725" i="22"/>
  <c r="AL727" i="22"/>
  <c r="AN680" i="22"/>
  <c r="AK643" i="22"/>
  <c r="AK651" i="22"/>
  <c r="AM655" i="22"/>
  <c r="AM657" i="22"/>
  <c r="AM659" i="22"/>
  <c r="AM661" i="22"/>
  <c r="AM663" i="22"/>
  <c r="AM665" i="22"/>
  <c r="AM667" i="22"/>
  <c r="AN673" i="22"/>
  <c r="AI690" i="22"/>
  <c r="AL639" i="22"/>
  <c r="AG648" i="22"/>
  <c r="AL654" i="22"/>
  <c r="AN656" i="22"/>
  <c r="AN658" i="22"/>
  <c r="AN660" i="22"/>
  <c r="AN662" i="22"/>
  <c r="AN664" i="22"/>
  <c r="AN666" i="22"/>
  <c r="AN668" i="22"/>
  <c r="AN670" i="22"/>
  <c r="AN690" i="22"/>
  <c r="AN695" i="22"/>
  <c r="AN697" i="22"/>
  <c r="AN699" i="22"/>
  <c r="AN701" i="22"/>
  <c r="AN703" i="22"/>
  <c r="AN705" i="22"/>
  <c r="AN707" i="22"/>
  <c r="AN709" i="22"/>
  <c r="AN711" i="22"/>
  <c r="AN713" i="22"/>
  <c r="AN715" i="22"/>
  <c r="AN717" i="22"/>
  <c r="AN719" i="22"/>
  <c r="AN721" i="22"/>
  <c r="AN723" i="22"/>
  <c r="AN725" i="22"/>
  <c r="AN727" i="22"/>
  <c r="AG657" i="22"/>
  <c r="AG665" i="22"/>
  <c r="AG659" i="22"/>
  <c r="AI670" i="22"/>
  <c r="AI697" i="22"/>
  <c r="AI701" i="22"/>
  <c r="AI705" i="22"/>
  <c r="AI709" i="22"/>
  <c r="AI713" i="22"/>
  <c r="AI717" i="22"/>
  <c r="AI721" i="22"/>
  <c r="AI725" i="22"/>
  <c r="AG729" i="22"/>
  <c r="AG731" i="22"/>
  <c r="AG733" i="22"/>
  <c r="AG735" i="22"/>
  <c r="AK655" i="22"/>
  <c r="AK663" i="22"/>
  <c r="AK670" i="22"/>
  <c r="AK697" i="22"/>
  <c r="AK701" i="22"/>
  <c r="AK705" i="22"/>
  <c r="AK709" i="22"/>
  <c r="AK713" i="22"/>
  <c r="AK717" i="22"/>
  <c r="AK721" i="22"/>
  <c r="AK725" i="22"/>
  <c r="AH729" i="22"/>
  <c r="AH731" i="22"/>
  <c r="AH733" i="22"/>
  <c r="AH735" i="22"/>
  <c r="AK666" i="22"/>
  <c r="AG698" i="22"/>
  <c r="AG706" i="22"/>
  <c r="AG714" i="22"/>
  <c r="AG722" i="22"/>
  <c r="AJ729" i="22"/>
  <c r="AJ733" i="22"/>
  <c r="AJ736" i="22"/>
  <c r="AJ738" i="22"/>
  <c r="AJ740" i="22"/>
  <c r="AJ742" i="22"/>
  <c r="AJ744" i="22"/>
  <c r="AJ746" i="22"/>
  <c r="AJ748" i="22"/>
  <c r="AJ750" i="22"/>
  <c r="AJ752" i="22"/>
  <c r="AG668" i="22"/>
  <c r="AM698" i="22"/>
  <c r="AM706" i="22"/>
  <c r="AM714" i="22"/>
  <c r="AM722" i="22"/>
  <c r="AM729" i="22"/>
  <c r="AM733" i="22"/>
  <c r="AK736" i="22"/>
  <c r="AK738" i="22"/>
  <c r="AK740" i="22"/>
  <c r="AK742" i="22"/>
  <c r="AK744" i="22"/>
  <c r="AK746" i="22"/>
  <c r="AK748" i="22"/>
  <c r="AK750" i="22"/>
  <c r="AK752" i="22"/>
  <c r="AK754" i="22"/>
  <c r="AK756" i="22"/>
  <c r="AK758" i="22"/>
  <c r="AK760" i="22"/>
  <c r="AK762" i="22"/>
  <c r="AK764" i="22"/>
  <c r="AK766" i="22"/>
  <c r="AK768" i="22"/>
  <c r="AK770" i="22"/>
  <c r="AK772" i="22"/>
  <c r="AK774" i="22"/>
  <c r="AK776" i="22"/>
  <c r="AK778" i="22"/>
  <c r="AK780" i="22"/>
  <c r="AK782" i="22"/>
  <c r="AK784" i="22"/>
  <c r="AK786" i="22"/>
  <c r="AK656" i="22"/>
  <c r="AG695" i="22"/>
  <c r="AG667" i="22"/>
  <c r="AI695" i="22"/>
  <c r="AI699" i="22"/>
  <c r="AI703" i="22"/>
  <c r="AI707" i="22"/>
  <c r="AI711" i="22"/>
  <c r="AI715" i="22"/>
  <c r="AI719" i="22"/>
  <c r="AI723" i="22"/>
  <c r="AI727" i="22"/>
  <c r="AG730" i="22"/>
  <c r="AG732" i="22"/>
  <c r="AG734" i="22"/>
  <c r="AK642" i="22"/>
  <c r="AK659" i="22"/>
  <c r="AK667" i="22"/>
  <c r="AK695" i="22"/>
  <c r="AK699" i="22"/>
  <c r="AK703" i="22"/>
  <c r="AK707" i="22"/>
  <c r="AK711" i="22"/>
  <c r="AK715" i="22"/>
  <c r="AK719" i="22"/>
  <c r="AK723" i="22"/>
  <c r="AK727" i="22"/>
  <c r="AH730" i="22"/>
  <c r="AH732" i="22"/>
  <c r="AH734" i="22"/>
  <c r="AK658" i="22"/>
  <c r="AG694" i="22"/>
  <c r="AG702" i="22"/>
  <c r="AG710" i="22"/>
  <c r="AG718" i="22"/>
  <c r="AG726" i="22"/>
  <c r="AJ731" i="22"/>
  <c r="AJ735" i="22"/>
  <c r="AJ737" i="22"/>
  <c r="AJ739" i="22"/>
  <c r="AJ741" i="22"/>
  <c r="AJ743" i="22"/>
  <c r="AJ745" i="22"/>
  <c r="AJ747" i="22"/>
  <c r="AJ749" i="22"/>
  <c r="AJ751" i="22"/>
  <c r="AJ753" i="22"/>
  <c r="AG660" i="22"/>
  <c r="AM694" i="22"/>
  <c r="AM702" i="22"/>
  <c r="AM710" i="22"/>
  <c r="AM718" i="22"/>
  <c r="AM726" i="22"/>
  <c r="AM731" i="22"/>
  <c r="AK735" i="22"/>
  <c r="AK737" i="22"/>
  <c r="AK739" i="22"/>
  <c r="AK741" i="22"/>
  <c r="AK743" i="22"/>
  <c r="AK745" i="22"/>
  <c r="AK747" i="22"/>
  <c r="AK749" i="22"/>
  <c r="AK751" i="22"/>
  <c r="AK753" i="22"/>
  <c r="AK755" i="22"/>
  <c r="AK757" i="22"/>
  <c r="AK759" i="22"/>
  <c r="AK761" i="22"/>
  <c r="AK763" i="22"/>
  <c r="AK765" i="22"/>
  <c r="AK767" i="22"/>
  <c r="AK769" i="22"/>
  <c r="AK771" i="22"/>
  <c r="AK773" i="22"/>
  <c r="AK775" i="22"/>
  <c r="AK777" i="22"/>
  <c r="AK779" i="22"/>
  <c r="AK781" i="22"/>
  <c r="AK783" i="22"/>
  <c r="AK785" i="22"/>
  <c r="AK787" i="22"/>
  <c r="AG655" i="22"/>
  <c r="AI696" i="22"/>
  <c r="AI704" i="22"/>
  <c r="AI712" i="22"/>
  <c r="AI720" i="22"/>
  <c r="AI728" i="22"/>
  <c r="AK732" i="22"/>
  <c r="AK650" i="22"/>
  <c r="AK669" i="22"/>
  <c r="AK700" i="22"/>
  <c r="AK708" i="22"/>
  <c r="AK716" i="22"/>
  <c r="AK724" i="22"/>
  <c r="AL730" i="22"/>
  <c r="AL734" i="22"/>
  <c r="AG696" i="22"/>
  <c r="AG712" i="22"/>
  <c r="AG728" i="22"/>
  <c r="AN735" i="22"/>
  <c r="AN739" i="22"/>
  <c r="AN743" i="22"/>
  <c r="AN747" i="22"/>
  <c r="AN751" i="22"/>
  <c r="AG664" i="22"/>
  <c r="AM704" i="22"/>
  <c r="AM720" i="22"/>
  <c r="AM732" i="22"/>
  <c r="AG738" i="22"/>
  <c r="AG742" i="22"/>
  <c r="AG746" i="22"/>
  <c r="AG750" i="22"/>
  <c r="AG754" i="22"/>
  <c r="AG758" i="22"/>
  <c r="AG762" i="22"/>
  <c r="AG766" i="22"/>
  <c r="AG770" i="22"/>
  <c r="AG774" i="22"/>
  <c r="AG778" i="22"/>
  <c r="AG782" i="22"/>
  <c r="AG786" i="22"/>
  <c r="AK664" i="22"/>
  <c r="AG701" i="22"/>
  <c r="AG709" i="22"/>
  <c r="AG717" i="22"/>
  <c r="AG725" i="22"/>
  <c r="AN730" i="22"/>
  <c r="AN734" i="22"/>
  <c r="AH737" i="22"/>
  <c r="AH739" i="22"/>
  <c r="AH741" i="22"/>
  <c r="AH743" i="22"/>
  <c r="AH745" i="22"/>
  <c r="AH747" i="22"/>
  <c r="AH749" i="22"/>
  <c r="AH751" i="22"/>
  <c r="AH753" i="22"/>
  <c r="AH755" i="22"/>
  <c r="AH757" i="22"/>
  <c r="AH759" i="22"/>
  <c r="AH761" i="22"/>
  <c r="AH763" i="22"/>
  <c r="AH765" i="22"/>
  <c r="AH767" i="22"/>
  <c r="AH769" i="22"/>
  <c r="AH771" i="22"/>
  <c r="AH773" i="22"/>
  <c r="AH775" i="22"/>
  <c r="AH777" i="22"/>
  <c r="AH779" i="22"/>
  <c r="AH781" i="22"/>
  <c r="AH783" i="22"/>
  <c r="AH785" i="22"/>
  <c r="AH787" i="22"/>
  <c r="AH789" i="22"/>
  <c r="AH803" i="22"/>
  <c r="AH805" i="22"/>
  <c r="AG663" i="22"/>
  <c r="AI698" i="22"/>
  <c r="AI706" i="22"/>
  <c r="AI714" i="22"/>
  <c r="AI722" i="22"/>
  <c r="AK729" i="22"/>
  <c r="AK733" i="22"/>
  <c r="AK657" i="22"/>
  <c r="AK694" i="22"/>
  <c r="AK702" i="22"/>
  <c r="AK710" i="22"/>
  <c r="AK718" i="22"/>
  <c r="AK726" i="22"/>
  <c r="AL731" i="22"/>
  <c r="AK652" i="22"/>
  <c r="AG700" i="22"/>
  <c r="AG716" i="22"/>
  <c r="AJ730" i="22"/>
  <c r="AN736" i="22"/>
  <c r="AN740" i="22"/>
  <c r="AN744" i="22"/>
  <c r="AN748" i="22"/>
  <c r="AN752" i="22"/>
  <c r="AM670" i="22"/>
  <c r="AM708" i="22"/>
  <c r="AM724" i="22"/>
  <c r="AM734" i="22"/>
  <c r="AG739" i="22"/>
  <c r="AG743" i="22"/>
  <c r="AG747" i="22"/>
  <c r="AG751" i="22"/>
  <c r="AG755" i="22"/>
  <c r="AG759" i="22"/>
  <c r="AG763" i="22"/>
  <c r="AG767" i="22"/>
  <c r="AG771" i="22"/>
  <c r="AG775" i="22"/>
  <c r="AG779" i="22"/>
  <c r="AG783" i="22"/>
  <c r="AG787" i="22"/>
  <c r="AK668" i="22"/>
  <c r="AG703" i="22"/>
  <c r="AG711" i="22"/>
  <c r="AG719" i="22"/>
  <c r="AG727" i="22"/>
  <c r="AN731" i="22"/>
  <c r="AL735" i="22"/>
  <c r="AL737" i="22"/>
  <c r="AL739" i="22"/>
  <c r="AL741" i="22"/>
  <c r="AL743" i="22"/>
  <c r="AL745" i="22"/>
  <c r="AL747" i="22"/>
  <c r="AL749" i="22"/>
  <c r="AL751" i="22"/>
  <c r="AL753" i="22"/>
  <c r="AL755" i="22"/>
  <c r="AL757" i="22"/>
  <c r="AL759" i="22"/>
  <c r="AL761" i="22"/>
  <c r="AL763" i="22"/>
  <c r="AL765" i="22"/>
  <c r="AL767" i="22"/>
  <c r="AL769" i="22"/>
  <c r="AL771" i="22"/>
  <c r="AL773" i="22"/>
  <c r="AL775" i="22"/>
  <c r="AL777" i="22"/>
  <c r="AL779" i="22"/>
  <c r="AL781" i="22"/>
  <c r="AL783" i="22"/>
  <c r="AL785" i="22"/>
  <c r="AL787" i="22"/>
  <c r="AL789" i="22"/>
  <c r="AL803" i="22"/>
  <c r="AL805" i="22"/>
  <c r="AG669" i="22"/>
  <c r="AI700" i="22"/>
  <c r="AI708" i="22"/>
  <c r="AI716" i="22"/>
  <c r="AI724" i="22"/>
  <c r="AK730" i="22"/>
  <c r="AK734" i="22"/>
  <c r="AK661" i="22"/>
  <c r="AK696" i="22"/>
  <c r="AK704" i="22"/>
  <c r="AK712" i="22"/>
  <c r="AK720" i="22"/>
  <c r="AK728" i="22"/>
  <c r="AL732" i="22"/>
  <c r="AK662" i="22"/>
  <c r="AG704" i="22"/>
  <c r="AG720" i="22"/>
  <c r="AJ732" i="22"/>
  <c r="AN737" i="22"/>
  <c r="AN741" i="22"/>
  <c r="AN745" i="22"/>
  <c r="AN749" i="22"/>
  <c r="AN753" i="22"/>
  <c r="AM696" i="22"/>
  <c r="AM712" i="22"/>
  <c r="AL728" i="22"/>
  <c r="AG736" i="22"/>
  <c r="AG740" i="22"/>
  <c r="AG744" i="22"/>
  <c r="AG748" i="22"/>
  <c r="AG752" i="22"/>
  <c r="AG756" i="22"/>
  <c r="AG760" i="22"/>
  <c r="AG764" i="22"/>
  <c r="AG768" i="22"/>
  <c r="AG772" i="22"/>
  <c r="AG776" i="22"/>
  <c r="AG780" i="22"/>
  <c r="AG784" i="22"/>
  <c r="AG697" i="22"/>
  <c r="AG705" i="22"/>
  <c r="AG713" i="22"/>
  <c r="AG721" i="22"/>
  <c r="AM728" i="22"/>
  <c r="AN732" i="22"/>
  <c r="AH736" i="22"/>
  <c r="AH738" i="22"/>
  <c r="AH740" i="22"/>
  <c r="AH742" i="22"/>
  <c r="AH744" i="22"/>
  <c r="AH746" i="22"/>
  <c r="AH748" i="22"/>
  <c r="AH750" i="22"/>
  <c r="AH752" i="22"/>
  <c r="AH754" i="22"/>
  <c r="AH756" i="22"/>
  <c r="AH758" i="22"/>
  <c r="AH760" i="22"/>
  <c r="AH762" i="22"/>
  <c r="AH764" i="22"/>
  <c r="AH766" i="22"/>
  <c r="AH768" i="22"/>
  <c r="AH770" i="22"/>
  <c r="AH772" i="22"/>
  <c r="AH774" i="22"/>
  <c r="AH776" i="22"/>
  <c r="AH778" i="22"/>
  <c r="AH780" i="22"/>
  <c r="AH782" i="22"/>
  <c r="AH784" i="22"/>
  <c r="AH786" i="22"/>
  <c r="AH788" i="22"/>
  <c r="AH802" i="22"/>
  <c r="AH804" i="22"/>
  <c r="AH806" i="22"/>
  <c r="AI694" i="22"/>
  <c r="AI702" i="22"/>
  <c r="AI710" i="22"/>
  <c r="AI718" i="22"/>
  <c r="AI726" i="22"/>
  <c r="AK731" i="22"/>
  <c r="AK665" i="22"/>
  <c r="AK698" i="22"/>
  <c r="AK706" i="22"/>
  <c r="AK714" i="22"/>
  <c r="AK722" i="22"/>
  <c r="AL729" i="22"/>
  <c r="AL733" i="22"/>
  <c r="AG670" i="22"/>
  <c r="AG708" i="22"/>
  <c r="AG724" i="22"/>
  <c r="AJ734" i="22"/>
  <c r="AN738" i="22"/>
  <c r="AN742" i="22"/>
  <c r="AN746" i="22"/>
  <c r="AN750" i="22"/>
  <c r="AG656" i="22"/>
  <c r="AM700" i="22"/>
  <c r="AM716" i="22"/>
  <c r="AM730" i="22"/>
  <c r="AG737" i="22"/>
  <c r="AG741" i="22"/>
  <c r="AG745" i="22"/>
  <c r="AG749" i="22"/>
  <c r="AG753" i="22"/>
  <c r="AG757" i="22"/>
  <c r="AG761" i="22"/>
  <c r="AG765" i="22"/>
  <c r="AG769" i="22"/>
  <c r="AG773" i="22"/>
  <c r="AG777" i="22"/>
  <c r="AG781" i="22"/>
  <c r="AG785" i="22"/>
  <c r="AK660" i="22"/>
  <c r="AG699" i="22"/>
  <c r="AG707" i="22"/>
  <c r="AG715" i="22"/>
  <c r="AG723" i="22"/>
  <c r="AN729" i="22"/>
  <c r="AN733" i="22"/>
  <c r="AL736" i="22"/>
  <c r="AL738" i="22"/>
  <c r="AL740" i="22"/>
  <c r="AL742" i="22"/>
  <c r="AL744" i="22"/>
  <c r="AL746" i="22"/>
  <c r="AL748" i="22"/>
  <c r="AL750" i="22"/>
  <c r="AL752" i="22"/>
  <c r="AL754" i="22"/>
  <c r="AL756" i="22"/>
  <c r="AL758" i="22"/>
  <c r="AL760" i="22"/>
  <c r="AL762" i="22"/>
  <c r="AL764" i="22"/>
  <c r="AL766" i="22"/>
  <c r="AL768" i="22"/>
  <c r="AL770" i="22"/>
  <c r="AL772" i="22"/>
  <c r="AL774" i="22"/>
  <c r="AL776" i="22"/>
  <c r="AL778" i="22"/>
  <c r="AL780" i="22"/>
  <c r="AL782" i="22"/>
  <c r="AL784" i="22"/>
  <c r="AL786" i="22"/>
  <c r="AL788" i="22"/>
  <c r="AL802" i="22"/>
  <c r="AL804" i="22"/>
  <c r="AL806" i="22"/>
  <c r="AH807" i="22"/>
  <c r="AH809" i="22"/>
  <c r="AH811" i="22"/>
  <c r="AH813" i="22"/>
  <c r="AH815" i="22"/>
  <c r="AH817" i="22"/>
  <c r="AH819" i="22"/>
  <c r="AH821" i="22"/>
  <c r="AH823" i="22"/>
  <c r="AH825" i="22"/>
  <c r="AH827" i="22"/>
  <c r="AH829" i="22"/>
  <c r="AH831" i="22"/>
  <c r="AH833" i="22"/>
  <c r="AH835" i="22"/>
  <c r="AH837" i="22"/>
  <c r="AH839" i="22"/>
  <c r="AH841" i="22"/>
  <c r="AH843" i="22"/>
  <c r="AH845" i="22"/>
  <c r="AH847" i="22"/>
  <c r="AH849" i="22"/>
  <c r="AH851" i="22"/>
  <c r="AH853" i="22"/>
  <c r="AH855" i="22"/>
  <c r="AH857" i="22"/>
  <c r="AH859" i="22"/>
  <c r="AH861" i="22"/>
  <c r="AM701" i="22"/>
  <c r="AI731" i="22"/>
  <c r="AI741" i="22"/>
  <c r="AI749" i="22"/>
  <c r="AM755" i="22"/>
  <c r="AM759" i="22"/>
  <c r="AM763" i="22"/>
  <c r="AL807" i="22"/>
  <c r="AL809" i="22"/>
  <c r="AL811" i="22"/>
  <c r="AL813" i="22"/>
  <c r="AL815" i="22"/>
  <c r="AL817" i="22"/>
  <c r="AL819" i="22"/>
  <c r="AL821" i="22"/>
  <c r="AL823" i="22"/>
  <c r="AL825" i="22"/>
  <c r="AL827" i="22"/>
  <c r="AL829" i="22"/>
  <c r="AL831" i="22"/>
  <c r="AL833" i="22"/>
  <c r="AL835" i="22"/>
  <c r="AL837" i="22"/>
  <c r="AL839" i="22"/>
  <c r="AL841" i="22"/>
  <c r="AL843" i="22"/>
  <c r="AL845" i="22"/>
  <c r="AL847" i="22"/>
  <c r="AL849" i="22"/>
  <c r="AL851" i="22"/>
  <c r="AL853" i="22"/>
  <c r="AL855" i="22"/>
  <c r="AL857" i="22"/>
  <c r="AL859" i="22"/>
  <c r="AL861" i="22"/>
  <c r="AM709" i="22"/>
  <c r="AI735" i="22"/>
  <c r="AI743" i="22"/>
  <c r="AI751" i="22"/>
  <c r="AM756" i="22"/>
  <c r="AM760" i="22"/>
  <c r="AM764" i="22"/>
  <c r="AM768" i="22"/>
  <c r="AM772" i="22"/>
  <c r="AM776" i="22"/>
  <c r="AM780" i="22"/>
  <c r="AM784" i="22"/>
  <c r="AJ788" i="22"/>
  <c r="AG803" i="22"/>
  <c r="AM805" i="22"/>
  <c r="AJ808" i="22"/>
  <c r="AG811" i="22"/>
  <c r="AM813" i="22"/>
  <c r="AJ816" i="22"/>
  <c r="AG819" i="22"/>
  <c r="AM821" i="22"/>
  <c r="AJ824" i="22"/>
  <c r="AG827" i="22"/>
  <c r="AM829" i="22"/>
  <c r="AJ832" i="22"/>
  <c r="AG835" i="22"/>
  <c r="AM837" i="22"/>
  <c r="AJ840" i="22"/>
  <c r="AG843" i="22"/>
  <c r="AM845" i="22"/>
  <c r="AJ848" i="22"/>
  <c r="AG851" i="22"/>
  <c r="AM853" i="22"/>
  <c r="AJ856" i="22"/>
  <c r="AG859" i="22"/>
  <c r="AM861" i="22"/>
  <c r="AM711" i="22"/>
  <c r="AM735" i="22"/>
  <c r="AM743" i="22"/>
  <c r="AM751" i="22"/>
  <c r="AN756" i="22"/>
  <c r="AN760" i="22"/>
  <c r="AN764" i="22"/>
  <c r="AN768" i="22"/>
  <c r="AN772" i="22"/>
  <c r="AN776" i="22"/>
  <c r="AN780" i="22"/>
  <c r="AN784" i="22"/>
  <c r="AK788" i="22"/>
  <c r="AI803" i="22"/>
  <c r="AN805" i="22"/>
  <c r="AK808" i="22"/>
  <c r="AI811" i="22"/>
  <c r="AN813" i="22"/>
  <c r="AK816" i="22"/>
  <c r="AI819" i="22"/>
  <c r="AN821" i="22"/>
  <c r="AK824" i="22"/>
  <c r="AI827" i="22"/>
  <c r="AN829" i="22"/>
  <c r="AK832" i="22"/>
  <c r="AI835" i="22"/>
  <c r="AN837" i="22"/>
  <c r="AK840" i="22"/>
  <c r="AI843" i="22"/>
  <c r="AN845" i="22"/>
  <c r="AK848" i="22"/>
  <c r="AI851" i="22"/>
  <c r="AN853" i="22"/>
  <c r="AK856" i="22"/>
  <c r="AI859" i="22"/>
  <c r="AN861" i="22"/>
  <c r="AI729" i="22"/>
  <c r="AI748" i="22"/>
  <c r="AI759" i="22"/>
  <c r="AI771" i="22"/>
  <c r="AI779" i="22"/>
  <c r="AI787" i="22"/>
  <c r="AM804" i="22"/>
  <c r="AG810" i="22"/>
  <c r="AJ815" i="22"/>
  <c r="AM820" i="22"/>
  <c r="AG826" i="22"/>
  <c r="AJ831" i="22"/>
  <c r="AM836" i="22"/>
  <c r="AG842" i="22"/>
  <c r="AJ847" i="22"/>
  <c r="AM852" i="22"/>
  <c r="AG858" i="22"/>
  <c r="AG666" i="22"/>
  <c r="AM736" i="22"/>
  <c r="AM752" i="22"/>
  <c r="AJ761" i="22"/>
  <c r="AJ773" i="22"/>
  <c r="AJ781" i="22"/>
  <c r="AN788" i="22"/>
  <c r="AI806" i="22"/>
  <c r="AK811" i="22"/>
  <c r="AN816" i="22"/>
  <c r="AI822" i="22"/>
  <c r="AK827" i="22"/>
  <c r="AN832" i="22"/>
  <c r="AI838" i="22"/>
  <c r="AK843" i="22"/>
  <c r="AN848" i="22"/>
  <c r="AI854" i="22"/>
  <c r="AK859" i="22"/>
  <c r="AM742" i="22"/>
  <c r="AJ772" i="22"/>
  <c r="AI788" i="22"/>
  <c r="AN810" i="22"/>
  <c r="AI820" i="22"/>
  <c r="AN830" i="22"/>
  <c r="AN838" i="22"/>
  <c r="AN846" i="22"/>
  <c r="AN854" i="22"/>
  <c r="AM705" i="22"/>
  <c r="AI742" i="22"/>
  <c r="AI756" i="22"/>
  <c r="AI764" i="22"/>
  <c r="AI768" i="22"/>
  <c r="AI776" i="22"/>
  <c r="AI784" i="22"/>
  <c r="AM802" i="22"/>
  <c r="AG808" i="22"/>
  <c r="AJ813" i="22"/>
  <c r="AM818" i="22"/>
  <c r="AG824" i="22"/>
  <c r="AJ829" i="22"/>
  <c r="AM834" i="22"/>
  <c r="AH808" i="22"/>
  <c r="AH810" i="22"/>
  <c r="AH812" i="22"/>
  <c r="AH814" i="22"/>
  <c r="AH816" i="22"/>
  <c r="AH818" i="22"/>
  <c r="AH820" i="22"/>
  <c r="AH822" i="22"/>
  <c r="AH824" i="22"/>
  <c r="AH826" i="22"/>
  <c r="AH828" i="22"/>
  <c r="AH830" i="22"/>
  <c r="AH832" i="22"/>
  <c r="AH834" i="22"/>
  <c r="AH836" i="22"/>
  <c r="AH838" i="22"/>
  <c r="AH840" i="22"/>
  <c r="AH842" i="22"/>
  <c r="AH844" i="22"/>
  <c r="AH846" i="22"/>
  <c r="AH848" i="22"/>
  <c r="AH850" i="22"/>
  <c r="AH852" i="22"/>
  <c r="AH854" i="22"/>
  <c r="AH856" i="22"/>
  <c r="AH858" i="22"/>
  <c r="AH860" i="22"/>
  <c r="AK644" i="22"/>
  <c r="AM717" i="22"/>
  <c r="AI737" i="22"/>
  <c r="AI745" i="22"/>
  <c r="AI753" i="22"/>
  <c r="AM757" i="22"/>
  <c r="AM761" i="22"/>
  <c r="AM765" i="22"/>
  <c r="AM769" i="22"/>
  <c r="AM773" i="22"/>
  <c r="AM777" i="22"/>
  <c r="AM781" i="22"/>
  <c r="AM785" i="22"/>
  <c r="AG789" i="22"/>
  <c r="AM803" i="22"/>
  <c r="AJ806" i="22"/>
  <c r="AG809" i="22"/>
  <c r="AM811" i="22"/>
  <c r="AJ814" i="22"/>
  <c r="AG817" i="22"/>
  <c r="AM819" i="22"/>
  <c r="AJ822" i="22"/>
  <c r="AG825" i="22"/>
  <c r="AM827" i="22"/>
  <c r="AJ830" i="22"/>
  <c r="AG833" i="22"/>
  <c r="AM835" i="22"/>
  <c r="AJ838" i="22"/>
  <c r="AG841" i="22"/>
  <c r="AM843" i="22"/>
  <c r="AJ846" i="22"/>
  <c r="AG849" i="22"/>
  <c r="AM851" i="22"/>
  <c r="AJ854" i="22"/>
  <c r="AG857" i="22"/>
  <c r="AM859" i="22"/>
  <c r="AG658" i="22"/>
  <c r="AM719" i="22"/>
  <c r="AM737" i="22"/>
  <c r="AM745" i="22"/>
  <c r="AM753" i="22"/>
  <c r="AN757" i="22"/>
  <c r="AN761" i="22"/>
  <c r="AN765" i="22"/>
  <c r="AN769" i="22"/>
  <c r="AN773" i="22"/>
  <c r="AN777" i="22"/>
  <c r="AN781" i="22"/>
  <c r="AN785" i="22"/>
  <c r="AI789" i="22"/>
  <c r="AN803" i="22"/>
  <c r="AK806" i="22"/>
  <c r="AI809" i="22"/>
  <c r="AN811" i="22"/>
  <c r="AK814" i="22"/>
  <c r="AI817" i="22"/>
  <c r="AN819" i="22"/>
  <c r="AK822" i="22"/>
  <c r="AI825" i="22"/>
  <c r="AN827" i="22"/>
  <c r="AK830" i="22"/>
  <c r="AI833" i="22"/>
  <c r="AN835" i="22"/>
  <c r="AK838" i="22"/>
  <c r="AI841" i="22"/>
  <c r="AN843" i="22"/>
  <c r="AK846" i="22"/>
  <c r="AI849" i="22"/>
  <c r="AN851" i="22"/>
  <c r="AK854" i="22"/>
  <c r="AI857" i="22"/>
  <c r="AN859" i="22"/>
  <c r="AG662" i="22"/>
  <c r="AI736" i="22"/>
  <c r="AI752" i="22"/>
  <c r="AI761" i="22"/>
  <c r="AI773" i="22"/>
  <c r="AI781" i="22"/>
  <c r="AM788" i="22"/>
  <c r="AG806" i="22"/>
  <c r="AJ811" i="22"/>
  <c r="AM816" i="22"/>
  <c r="AG822" i="22"/>
  <c r="AJ827" i="22"/>
  <c r="AM832" i="22"/>
  <c r="AG838" i="22"/>
  <c r="AJ843" i="22"/>
  <c r="AM848" i="22"/>
  <c r="AG854" i="22"/>
  <c r="AJ859" i="22"/>
  <c r="AM699" i="22"/>
  <c r="AM740" i="22"/>
  <c r="AJ755" i="22"/>
  <c r="AJ763" i="22"/>
  <c r="AJ767" i="22"/>
  <c r="AJ775" i="22"/>
  <c r="AJ783" i="22"/>
  <c r="AI802" i="22"/>
  <c r="AK807" i="22"/>
  <c r="AN812" i="22"/>
  <c r="AI818" i="22"/>
  <c r="AK823" i="22"/>
  <c r="AN828" i="22"/>
  <c r="AI834" i="22"/>
  <c r="AK839" i="22"/>
  <c r="AN844" i="22"/>
  <c r="AI850" i="22"/>
  <c r="AK855" i="22"/>
  <c r="AN860" i="22"/>
  <c r="AM750" i="22"/>
  <c r="AJ776" i="22"/>
  <c r="AK805" i="22"/>
  <c r="AK813" i="22"/>
  <c r="AI824" i="22"/>
  <c r="AI832" i="22"/>
  <c r="AI840" i="22"/>
  <c r="AK849" i="22"/>
  <c r="AK857" i="22"/>
  <c r="AM721" i="22"/>
  <c r="AI746" i="22"/>
  <c r="AI758" i="22"/>
  <c r="AI770" i="22"/>
  <c r="AI778" i="22"/>
  <c r="AI786" i="22"/>
  <c r="AG804" i="22"/>
  <c r="AJ809" i="22"/>
  <c r="AM814" i="22"/>
  <c r="AG820" i="22"/>
  <c r="AJ825" i="22"/>
  <c r="AM830" i="22"/>
  <c r="AG836" i="22"/>
  <c r="AL808" i="22"/>
  <c r="AL810" i="22"/>
  <c r="AL812" i="22"/>
  <c r="AL814" i="22"/>
  <c r="AL816" i="22"/>
  <c r="AL818" i="22"/>
  <c r="AL820" i="22"/>
  <c r="AL822" i="22"/>
  <c r="AL824" i="22"/>
  <c r="AL826" i="22"/>
  <c r="AL828" i="22"/>
  <c r="AL830" i="22"/>
  <c r="AL832" i="22"/>
  <c r="AL834" i="22"/>
  <c r="AL836" i="22"/>
  <c r="AL838" i="22"/>
  <c r="AL840" i="22"/>
  <c r="AL842" i="22"/>
  <c r="AL844" i="22"/>
  <c r="AL846" i="22"/>
  <c r="AL848" i="22"/>
  <c r="AL850" i="22"/>
  <c r="AL852" i="22"/>
  <c r="AL854" i="22"/>
  <c r="AL856" i="22"/>
  <c r="AL858" i="22"/>
  <c r="AL860" i="22"/>
  <c r="AM669" i="22"/>
  <c r="AM725" i="22"/>
  <c r="AI739" i="22"/>
  <c r="AI747" i="22"/>
  <c r="AM754" i="22"/>
  <c r="AM758" i="22"/>
  <c r="AM762" i="22"/>
  <c r="AM766" i="22"/>
  <c r="AM770" i="22"/>
  <c r="AM774" i="22"/>
  <c r="AM778" i="22"/>
  <c r="AM782" i="22"/>
  <c r="AM786" i="22"/>
  <c r="AM789" i="22"/>
  <c r="AJ804" i="22"/>
  <c r="AG807" i="22"/>
  <c r="AM809" i="22"/>
  <c r="AJ812" i="22"/>
  <c r="AG815" i="22"/>
  <c r="AM817" i="22"/>
  <c r="AJ820" i="22"/>
  <c r="AG823" i="22"/>
  <c r="AM825" i="22"/>
  <c r="AJ828" i="22"/>
  <c r="AG831" i="22"/>
  <c r="AM833" i="22"/>
  <c r="AJ836" i="22"/>
  <c r="AG839" i="22"/>
  <c r="AM841" i="22"/>
  <c r="AJ844" i="22"/>
  <c r="AG847" i="22"/>
  <c r="AM849" i="22"/>
  <c r="AJ852" i="22"/>
  <c r="AG855" i="22"/>
  <c r="AM857" i="22"/>
  <c r="AJ860" i="22"/>
  <c r="AM695" i="22"/>
  <c r="AM727" i="22"/>
  <c r="AM739" i="22"/>
  <c r="AM747" i="22"/>
  <c r="AN754" i="22"/>
  <c r="AN758" i="22"/>
  <c r="AN762" i="22"/>
  <c r="AN766" i="22"/>
  <c r="AN770" i="22"/>
  <c r="AN774" i="22"/>
  <c r="AN778" i="22"/>
  <c r="AN782" i="22"/>
  <c r="AN786" i="22"/>
  <c r="AN789" i="22"/>
  <c r="AK804" i="22"/>
  <c r="AI807" i="22"/>
  <c r="AN809" i="22"/>
  <c r="AK812" i="22"/>
  <c r="AI815" i="22"/>
  <c r="AN817" i="22"/>
  <c r="AK820" i="22"/>
  <c r="AI823" i="22"/>
  <c r="AN825" i="22"/>
  <c r="AK828" i="22"/>
  <c r="AI831" i="22"/>
  <c r="AN833" i="22"/>
  <c r="AK836" i="22"/>
  <c r="AI839" i="22"/>
  <c r="AN841" i="22"/>
  <c r="AK844" i="22"/>
  <c r="AI847" i="22"/>
  <c r="AN849" i="22"/>
  <c r="AK852" i="22"/>
  <c r="AI855" i="22"/>
  <c r="AN857" i="22"/>
  <c r="AK860" i="22"/>
  <c r="AM697" i="22"/>
  <c r="AI740" i="22"/>
  <c r="AI755" i="22"/>
  <c r="AI763" i="22"/>
  <c r="AI767" i="22"/>
  <c r="AI775" i="22"/>
  <c r="AI783" i="22"/>
  <c r="AG802" i="22"/>
  <c r="AJ807" i="22"/>
  <c r="AM812" i="22"/>
  <c r="AG818" i="22"/>
  <c r="AJ823" i="22"/>
  <c r="AM828" i="22"/>
  <c r="AG834" i="22"/>
  <c r="AJ839" i="22"/>
  <c r="AM844" i="22"/>
  <c r="AG850" i="22"/>
  <c r="AJ855" i="22"/>
  <c r="AM767" i="22"/>
  <c r="AM783" i="22"/>
  <c r="AM807" i="22"/>
  <c r="AJ818" i="22"/>
  <c r="AG829" i="22"/>
  <c r="AM839" i="22"/>
  <c r="AJ850" i="22"/>
  <c r="AG861" i="22"/>
  <c r="AM749" i="22"/>
  <c r="AN771" i="22"/>
  <c r="AN787" i="22"/>
  <c r="AK810" i="22"/>
  <c r="AI821" i="22"/>
  <c r="AN831" i="22"/>
  <c r="AK842" i="22"/>
  <c r="AI853" i="22"/>
  <c r="AM713" i="22"/>
  <c r="AJ803" i="22"/>
  <c r="AM824" i="22"/>
  <c r="AG846" i="22"/>
  <c r="AJ764" i="22"/>
  <c r="AM748" i="22"/>
  <c r="AJ771" i="22"/>
  <c r="AJ787" i="22"/>
  <c r="AI810" i="22"/>
  <c r="AN820" i="22"/>
  <c r="AK831" i="22"/>
  <c r="AI842" i="22"/>
  <c r="AN852" i="22"/>
  <c r="AI734" i="22"/>
  <c r="AJ768" i="22"/>
  <c r="AK809" i="22"/>
  <c r="AK829" i="22"/>
  <c r="AK845" i="22"/>
  <c r="AK861" i="22"/>
  <c r="AI754" i="22"/>
  <c r="AI774" i="22"/>
  <c r="AJ789" i="22"/>
  <c r="AG812" i="22"/>
  <c r="AM822" i="22"/>
  <c r="AJ833" i="22"/>
  <c r="AJ841" i="22"/>
  <c r="AM846" i="22"/>
  <c r="AG852" i="22"/>
  <c r="AJ857" i="22"/>
  <c r="AM723" i="22"/>
  <c r="AJ756" i="22"/>
  <c r="AJ778" i="22"/>
  <c r="AN802" i="22"/>
  <c r="AN814" i="22"/>
  <c r="AK825" i="22"/>
  <c r="AK841" i="22"/>
  <c r="AI856" i="22"/>
  <c r="AK897" i="22"/>
  <c r="AN824" i="22"/>
  <c r="AM895" i="22"/>
  <c r="AK893" i="22"/>
  <c r="AM891" i="22"/>
  <c r="AK889" i="22"/>
  <c r="AM887" i="22"/>
  <c r="R632" i="22"/>
  <c r="AL632" i="22" s="1"/>
  <c r="AL884" i="22"/>
  <c r="T630" i="22"/>
  <c r="AN630" i="22" s="1"/>
  <c r="AN882" i="22"/>
  <c r="R628" i="22"/>
  <c r="AL628" i="22" s="1"/>
  <c r="AL880" i="22"/>
  <c r="AN878" i="22"/>
  <c r="AJ842" i="22"/>
  <c r="R624" i="22"/>
  <c r="AL624" i="22" s="1"/>
  <c r="AL876" i="22"/>
  <c r="AK803" i="22"/>
  <c r="T622" i="22"/>
  <c r="AN622" i="22" s="1"/>
  <c r="AN874" i="22"/>
  <c r="AK837" i="22"/>
  <c r="AG837" i="22"/>
  <c r="AI836" i="22"/>
  <c r="AM771" i="22"/>
  <c r="AM787" i="22"/>
  <c r="AJ810" i="22"/>
  <c r="AG821" i="22"/>
  <c r="AM831" i="22"/>
  <c r="AG853" i="22"/>
  <c r="AM703" i="22"/>
  <c r="AN755" i="22"/>
  <c r="AN775" i="22"/>
  <c r="AK802" i="22"/>
  <c r="AI813" i="22"/>
  <c r="AN823" i="22"/>
  <c r="AK834" i="22"/>
  <c r="AI845" i="22"/>
  <c r="AN855" i="22"/>
  <c r="AI744" i="22"/>
  <c r="AI769" i="22"/>
  <c r="AM808" i="22"/>
  <c r="AG830" i="22"/>
  <c r="AJ851" i="22"/>
  <c r="AM715" i="22"/>
  <c r="AJ757" i="22"/>
  <c r="AJ777" i="22"/>
  <c r="AI814" i="22"/>
  <c r="AK835" i="22"/>
  <c r="AI846" i="22"/>
  <c r="AN856" i="22"/>
  <c r="AJ758" i="22"/>
  <c r="AJ780" i="22"/>
  <c r="AI816" i="22"/>
  <c r="AN834" i="22"/>
  <c r="AN850" i="22"/>
  <c r="AI733" i="22"/>
  <c r="AI760" i="22"/>
  <c r="AI780" i="22"/>
  <c r="AJ805" i="22"/>
  <c r="AG816" i="22"/>
  <c r="AM826" i="22"/>
  <c r="AJ837" i="22"/>
  <c r="AM842" i="22"/>
  <c r="AG848" i="22"/>
  <c r="AJ853" i="22"/>
  <c r="AM858" i="22"/>
  <c r="AM738" i="22"/>
  <c r="AJ760" i="22"/>
  <c r="AJ766" i="22"/>
  <c r="AJ782" i="22"/>
  <c r="AI804" i="22"/>
  <c r="AK817" i="22"/>
  <c r="AM775" i="22"/>
  <c r="AJ802" i="22"/>
  <c r="AG813" i="22"/>
  <c r="AM823" i="22"/>
  <c r="AJ834" i="22"/>
  <c r="AG845" i="22"/>
  <c r="AM855" i="22"/>
  <c r="AI732" i="22"/>
  <c r="AN759" i="22"/>
  <c r="AN779" i="22"/>
  <c r="AI805" i="22"/>
  <c r="AN815" i="22"/>
  <c r="AK826" i="22"/>
  <c r="AI837" i="22"/>
  <c r="AN847" i="22"/>
  <c r="AK858" i="22"/>
  <c r="AI757" i="22"/>
  <c r="AI777" i="22"/>
  <c r="AG814" i="22"/>
  <c r="AJ835" i="22"/>
  <c r="AM856" i="22"/>
  <c r="AI730" i="22"/>
  <c r="AJ759" i="22"/>
  <c r="AJ779" i="22"/>
  <c r="AN804" i="22"/>
  <c r="AK815" i="22"/>
  <c r="AI826" i="22"/>
  <c r="AN836" i="22"/>
  <c r="AK847" i="22"/>
  <c r="AI858" i="22"/>
  <c r="AJ762" i="22"/>
  <c r="AJ784" i="22"/>
  <c r="AN818" i="22"/>
  <c r="AK853" i="22"/>
  <c r="AI738" i="22"/>
  <c r="AI762" i="22"/>
  <c r="AI766" i="22"/>
  <c r="AI782" i="22"/>
  <c r="AM806" i="22"/>
  <c r="AJ817" i="22"/>
  <c r="AG828" i="22"/>
  <c r="AM838" i="22"/>
  <c r="AG844" i="22"/>
  <c r="AJ849" i="22"/>
  <c r="AM854" i="22"/>
  <c r="AG860" i="22"/>
  <c r="AM746" i="22"/>
  <c r="AJ770" i="22"/>
  <c r="AJ786" i="22"/>
  <c r="AI808" i="22"/>
  <c r="AK821" i="22"/>
  <c r="AK833" i="22"/>
  <c r="AI848" i="22"/>
  <c r="AN896" i="22"/>
  <c r="AL894" i="22"/>
  <c r="AN892" i="22"/>
  <c r="AL890" i="22"/>
  <c r="AN888" i="22"/>
  <c r="AM815" i="22"/>
  <c r="AL886" i="22"/>
  <c r="AM741" i="22"/>
  <c r="S633" i="22"/>
  <c r="AM633" i="22" s="1"/>
  <c r="AM885" i="22"/>
  <c r="Q631" i="22"/>
  <c r="AK631" i="22" s="1"/>
  <c r="AK883" i="22"/>
  <c r="S629" i="22"/>
  <c r="AM629" i="22" s="1"/>
  <c r="AM881" i="22"/>
  <c r="Q627" i="22"/>
  <c r="AK627" i="22" s="1"/>
  <c r="AK879" i="22"/>
  <c r="AN806" i="22"/>
  <c r="S625" i="22"/>
  <c r="AM625" i="22" s="1"/>
  <c r="AM877" i="22"/>
  <c r="Q623" i="22"/>
  <c r="AK623" i="22" s="1"/>
  <c r="AK875" i="22"/>
  <c r="AJ861" i="22"/>
  <c r="AM896" i="22"/>
  <c r="AK894" i="22"/>
  <c r="AM892" i="22"/>
  <c r="AI772" i="22"/>
  <c r="AK890" i="22"/>
  <c r="AM744" i="22"/>
  <c r="AM888" i="22"/>
  <c r="AK886" i="22"/>
  <c r="R633" i="22"/>
  <c r="AL633" i="22" s="1"/>
  <c r="AL885" i="22"/>
  <c r="T631" i="22"/>
  <c r="AN631" i="22" s="1"/>
  <c r="AN883" i="22"/>
  <c r="AM810" i="22"/>
  <c r="R629" i="22"/>
  <c r="AL629" i="22" s="1"/>
  <c r="AL881" i="22"/>
  <c r="AN879" i="22"/>
  <c r="R625" i="22"/>
  <c r="AL625" i="22" s="1"/>
  <c r="AL877" i="22"/>
  <c r="AN875" i="22"/>
  <c r="AJ765" i="22"/>
  <c r="AN763" i="22"/>
  <c r="AM779" i="22"/>
  <c r="AK818" i="22"/>
  <c r="AI861" i="22"/>
  <c r="AM840" i="22"/>
  <c r="AJ769" i="22"/>
  <c r="AI830" i="22"/>
  <c r="AN858" i="22"/>
  <c r="AG788" i="22"/>
  <c r="AG840" i="22"/>
  <c r="AK789" i="22"/>
  <c r="AI895" i="22"/>
  <c r="AI891" i="22"/>
  <c r="AI887" i="22"/>
  <c r="O633" i="22"/>
  <c r="AI633" i="22" s="1"/>
  <c r="AI885" i="22"/>
  <c r="O629" i="22"/>
  <c r="AI629" i="22" s="1"/>
  <c r="AI881" i="22"/>
  <c r="O625" i="22"/>
  <c r="AI625" i="22" s="1"/>
  <c r="AI877" i="22"/>
  <c r="AK871" i="22"/>
  <c r="AM870" i="22"/>
  <c r="AK869" i="22"/>
  <c r="AM868" i="22"/>
  <c r="AK867" i="22"/>
  <c r="AM866" i="22"/>
  <c r="AK865" i="22"/>
  <c r="AM864" i="22"/>
  <c r="AK863" i="22"/>
  <c r="AM862" i="22"/>
  <c r="AJ897" i="22"/>
  <c r="AL895" i="22"/>
  <c r="AG894" i="22"/>
  <c r="AJ889" i="22"/>
  <c r="AL887" i="22"/>
  <c r="AG886" i="22"/>
  <c r="Q632" i="22"/>
  <c r="AK632" i="22" s="1"/>
  <c r="AK884" i="22"/>
  <c r="P631" i="22"/>
  <c r="AJ631" i="22" s="1"/>
  <c r="AJ883" i="22"/>
  <c r="O626" i="22"/>
  <c r="AI626" i="22" s="1"/>
  <c r="AI878" i="22"/>
  <c r="Q624" i="22"/>
  <c r="AK624" i="22" s="1"/>
  <c r="AK876" i="22"/>
  <c r="P623" i="22"/>
  <c r="AJ623" i="22" s="1"/>
  <c r="AJ875" i="22"/>
  <c r="AG805" i="22"/>
  <c r="AM847" i="22"/>
  <c r="AN767" i="22"/>
  <c r="AI829" i="22"/>
  <c r="AI765" i="22"/>
  <c r="AM860" i="22"/>
  <c r="AJ785" i="22"/>
  <c r="AN840" i="22"/>
  <c r="AI750" i="22"/>
  <c r="AJ845" i="22"/>
  <c r="AJ754" i="22"/>
  <c r="AI812" i="22"/>
  <c r="AI844" i="22"/>
  <c r="AJ896" i="22"/>
  <c r="AJ892" i="22"/>
  <c r="AJ888" i="22"/>
  <c r="N632" i="22"/>
  <c r="AH632" i="22" s="1"/>
  <c r="AH884" i="22"/>
  <c r="N628" i="22"/>
  <c r="AH628" i="22" s="1"/>
  <c r="AH880" i="22"/>
  <c r="N624" i="22"/>
  <c r="AH624" i="22" s="1"/>
  <c r="AH876" i="22"/>
  <c r="AJ858" i="22"/>
  <c r="AN783" i="22"/>
  <c r="AN839" i="22"/>
  <c r="T623" i="22"/>
  <c r="AN623" i="22" s="1"/>
  <c r="AI785" i="22"/>
  <c r="AN808" i="22"/>
  <c r="AK851" i="22"/>
  <c r="AN826" i="22"/>
  <c r="AJ821" i="22"/>
  <c r="AM850" i="22"/>
  <c r="AJ826" i="22"/>
  <c r="AJ819" i="22"/>
  <c r="AN842" i="22"/>
  <c r="T626" i="22"/>
  <c r="AN626" i="22" s="1"/>
  <c r="AJ774" i="22"/>
  <c r="AI860" i="22"/>
  <c r="AH890" i="22"/>
  <c r="P630" i="22"/>
  <c r="AJ630" i="22" s="1"/>
  <c r="AJ882" i="22"/>
  <c r="P622" i="22"/>
  <c r="AJ622" i="22" s="1"/>
  <c r="AJ874" i="22"/>
  <c r="AG873" i="22"/>
  <c r="AI872" i="22"/>
  <c r="AG863" i="22"/>
  <c r="AH895" i="22"/>
  <c r="AN893" i="22"/>
  <c r="AJ893" i="22"/>
  <c r="AI892" i="22"/>
  <c r="AL891" i="22"/>
  <c r="AH891" i="22"/>
  <c r="AG890" i="22"/>
  <c r="AN889" i="22"/>
  <c r="AI888" i="22"/>
  <c r="M632" i="22"/>
  <c r="AG632" i="22" s="1"/>
  <c r="AG884" i="22"/>
  <c r="O630" i="22"/>
  <c r="AI630" i="22" s="1"/>
  <c r="AI882" i="22"/>
  <c r="M628" i="22"/>
  <c r="AG628" i="22" s="1"/>
  <c r="AG880" i="22"/>
  <c r="T627" i="22"/>
  <c r="AN627" i="22" s="1"/>
  <c r="AN807" i="22"/>
  <c r="S622" i="22"/>
  <c r="AM622" i="22" s="1"/>
  <c r="AM874" i="22"/>
  <c r="AJ873" i="22"/>
  <c r="AH872" i="22"/>
  <c r="AJ871" i="22"/>
  <c r="AH870" i="22"/>
  <c r="AJ869" i="22"/>
  <c r="AH868" i="22"/>
  <c r="AJ867" i="22"/>
  <c r="AH866" i="22"/>
  <c r="AJ865" i="22"/>
  <c r="AH864" i="22"/>
  <c r="AJ863" i="22"/>
  <c r="AL862" i="22"/>
  <c r="AH862" i="22"/>
  <c r="AH896" i="22"/>
  <c r="AJ894" i="22"/>
  <c r="AH892" i="22"/>
  <c r="AJ890" i="22"/>
  <c r="AH888" i="22"/>
  <c r="P634" i="22"/>
  <c r="AJ634" i="22" s="1"/>
  <c r="AJ886" i="22"/>
  <c r="P632" i="22"/>
  <c r="AJ632" i="22" s="1"/>
  <c r="AJ884" i="22"/>
  <c r="N630" i="22"/>
  <c r="AH630" i="22" s="1"/>
  <c r="AH882" i="22"/>
  <c r="P628" i="22"/>
  <c r="AJ628" i="22" s="1"/>
  <c r="AJ880" i="22"/>
  <c r="N626" i="22"/>
  <c r="AH626" i="22" s="1"/>
  <c r="AH878" i="22"/>
  <c r="P624" i="22"/>
  <c r="AJ624" i="22" s="1"/>
  <c r="AJ876" i="22"/>
  <c r="N622" i="22"/>
  <c r="AH622" i="22" s="1"/>
  <c r="AH874" i="22"/>
  <c r="AM873" i="22"/>
  <c r="AI873" i="22"/>
  <c r="AN822" i="22"/>
  <c r="AG893" i="22"/>
  <c r="M627" i="22"/>
  <c r="AG627" i="22" s="1"/>
  <c r="AG879" i="22"/>
  <c r="AG871" i="22"/>
  <c r="AG869" i="22"/>
  <c r="AG867" i="22"/>
  <c r="AI862" i="22"/>
  <c r="AN897" i="22"/>
  <c r="AI896" i="22"/>
  <c r="N633" i="22"/>
  <c r="AH633" i="22" s="1"/>
  <c r="AH885" i="22"/>
  <c r="M624" i="22"/>
  <c r="AG624" i="22" s="1"/>
  <c r="AG876" i="22"/>
  <c r="O622" i="22"/>
  <c r="AI622" i="22" s="1"/>
  <c r="AI874" i="22"/>
  <c r="AM897" i="22"/>
  <c r="AK895" i="22"/>
  <c r="AM893" i="22"/>
  <c r="AK891" i="22"/>
  <c r="AM889" i="22"/>
  <c r="AK887" i="22"/>
  <c r="T632" i="22"/>
  <c r="AN632" i="22" s="1"/>
  <c r="AN884" i="22"/>
  <c r="R630" i="22"/>
  <c r="AL630" i="22" s="1"/>
  <c r="AL882" i="22"/>
  <c r="T628" i="22"/>
  <c r="AN628" i="22" s="1"/>
  <c r="AN880" i="22"/>
  <c r="R626" i="22"/>
  <c r="AL626" i="22" s="1"/>
  <c r="AL878" i="22"/>
  <c r="T624" i="22"/>
  <c r="AN624" i="22" s="1"/>
  <c r="AN876" i="22"/>
  <c r="R634" i="22"/>
  <c r="AL634" i="22" s="1"/>
  <c r="R622" i="22"/>
  <c r="AL622" i="22" s="1"/>
  <c r="AL874" i="22"/>
  <c r="AL897" i="22"/>
  <c r="AN895" i="22"/>
  <c r="AL893" i="22"/>
  <c r="AN891" i="22"/>
  <c r="AK819" i="22"/>
  <c r="AG832" i="22"/>
  <c r="AI828" i="22"/>
  <c r="AH894" i="22"/>
  <c r="N634" i="22"/>
  <c r="AH634" i="22" s="1"/>
  <c r="AH886" i="22"/>
  <c r="P626" i="22"/>
  <c r="AJ626" i="22" s="1"/>
  <c r="AJ878" i="22"/>
  <c r="AK873" i="22"/>
  <c r="AM872" i="22"/>
  <c r="AG865" i="22"/>
  <c r="N629" i="22"/>
  <c r="AH629" i="22" s="1"/>
  <c r="AH881" i="22"/>
  <c r="P627" i="22"/>
  <c r="AJ627" i="22" s="1"/>
  <c r="AJ879" i="22"/>
  <c r="N625" i="22"/>
  <c r="AH625" i="22" s="1"/>
  <c r="AH877" i="22"/>
  <c r="AN873" i="22"/>
  <c r="AL872" i="22"/>
  <c r="AN871" i="22"/>
  <c r="AL870" i="22"/>
  <c r="AN869" i="22"/>
  <c r="AL868" i="22"/>
  <c r="AN867" i="22"/>
  <c r="AL866" i="22"/>
  <c r="AN865" i="22"/>
  <c r="AL864" i="22"/>
  <c r="AN863" i="22"/>
  <c r="AI897" i="22"/>
  <c r="AG895" i="22"/>
  <c r="AI893" i="22"/>
  <c r="AG891" i="22"/>
  <c r="AI889" i="22"/>
  <c r="AG887" i="22"/>
  <c r="M633" i="22"/>
  <c r="AG633" i="22" s="1"/>
  <c r="AG885" i="22"/>
  <c r="O631" i="22"/>
  <c r="AI631" i="22" s="1"/>
  <c r="AI883" i="22"/>
  <c r="M629" i="22"/>
  <c r="AG629" i="22" s="1"/>
  <c r="AG881" i="22"/>
  <c r="O627" i="22"/>
  <c r="AI627" i="22" s="1"/>
  <c r="AI879" i="22"/>
  <c r="M625" i="22"/>
  <c r="AG625" i="22" s="1"/>
  <c r="AG877" i="22"/>
  <c r="O623" i="22"/>
  <c r="AI623" i="22" s="1"/>
  <c r="AI875" i="22"/>
  <c r="AH897" i="22"/>
  <c r="AJ895" i="22"/>
  <c r="AH893" i="22"/>
  <c r="AJ891" i="22"/>
  <c r="AK850" i="22"/>
  <c r="AG897" i="22"/>
  <c r="AM707" i="22"/>
  <c r="AI870" i="22"/>
  <c r="AH887" i="22"/>
  <c r="Q628" i="22"/>
  <c r="AK628" i="22" s="1"/>
  <c r="AK880" i="22"/>
  <c r="AL896" i="22"/>
  <c r="AL888" i="22"/>
  <c r="Q629" i="22"/>
  <c r="AK629" i="22" s="1"/>
  <c r="AK881" i="22"/>
  <c r="AM894" i="22"/>
  <c r="AM890" i="22"/>
  <c r="AH889" i="22"/>
  <c r="AJ887" i="22"/>
  <c r="P633" i="22"/>
  <c r="AJ633" i="22" s="1"/>
  <c r="AJ885" i="22"/>
  <c r="N631" i="22"/>
  <c r="AH631" i="22" s="1"/>
  <c r="AH883" i="22"/>
  <c r="P629" i="22"/>
  <c r="AJ629" i="22" s="1"/>
  <c r="AJ881" i="22"/>
  <c r="N627" i="22"/>
  <c r="AH627" i="22" s="1"/>
  <c r="AH879" i="22"/>
  <c r="M631" i="22"/>
  <c r="AG631" i="22" s="1"/>
  <c r="AG883" i="22"/>
  <c r="S626" i="22"/>
  <c r="AM626" i="22" s="1"/>
  <c r="AM878" i="22"/>
  <c r="AN894" i="22"/>
  <c r="T634" i="22"/>
  <c r="AN634" i="22" s="1"/>
  <c r="AN886" i="22"/>
  <c r="S631" i="22"/>
  <c r="AM631" i="22" s="1"/>
  <c r="AM883" i="22"/>
  <c r="S623" i="22"/>
  <c r="AM623" i="22" s="1"/>
  <c r="AM875" i="22"/>
  <c r="AK872" i="22"/>
  <c r="AG872" i="22"/>
  <c r="AM871" i="22"/>
  <c r="AI871" i="22"/>
  <c r="AK870" i="22"/>
  <c r="AG870" i="22"/>
  <c r="AM869" i="22"/>
  <c r="AI869" i="22"/>
  <c r="AK868" i="22"/>
  <c r="AG868" i="22"/>
  <c r="AM867" i="22"/>
  <c r="AI867" i="22"/>
  <c r="AK866" i="22"/>
  <c r="AG866" i="22"/>
  <c r="AM865" i="22"/>
  <c r="AI865" i="22"/>
  <c r="AK864" i="22"/>
  <c r="AG864" i="22"/>
  <c r="AM863" i="22"/>
  <c r="AI863" i="22"/>
  <c r="AK862" i="22"/>
  <c r="AG862" i="22"/>
  <c r="AI894" i="22"/>
  <c r="AK888" i="22"/>
  <c r="S634" i="22"/>
  <c r="AM634" i="22" s="1"/>
  <c r="AM886" i="22"/>
  <c r="T633" i="22"/>
  <c r="AN633" i="22" s="1"/>
  <c r="AN885" i="22"/>
  <c r="R631" i="22"/>
  <c r="AL631" i="22" s="1"/>
  <c r="AL883" i="22"/>
  <c r="T629" i="22"/>
  <c r="AN629" i="22" s="1"/>
  <c r="AN881" i="22"/>
  <c r="AG856" i="22"/>
  <c r="M623" i="22"/>
  <c r="AG623" i="22" s="1"/>
  <c r="AG875" i="22"/>
  <c r="AI866" i="22"/>
  <c r="AI864" i="22"/>
  <c r="AI852" i="22"/>
  <c r="AL892" i="22"/>
  <c r="Q633" i="22"/>
  <c r="AK633" i="22" s="1"/>
  <c r="AK885" i="22"/>
  <c r="Q625" i="22"/>
  <c r="AK625" i="22" s="1"/>
  <c r="AK877" i="22"/>
  <c r="AK896" i="22"/>
  <c r="AK892" i="22"/>
  <c r="AI890" i="22"/>
  <c r="AG888" i="22"/>
  <c r="O634" i="22"/>
  <c r="AI634" i="22" s="1"/>
  <c r="AI886" i="22"/>
  <c r="O632" i="22"/>
  <c r="AI632" i="22" s="1"/>
  <c r="AI884" i="22"/>
  <c r="M630" i="22"/>
  <c r="AG630" i="22" s="1"/>
  <c r="AG882" i="22"/>
  <c r="AG889" i="22"/>
  <c r="AI868" i="22"/>
  <c r="S630" i="22"/>
  <c r="AM630" i="22" s="1"/>
  <c r="AM882" i="22"/>
  <c r="AN890" i="22"/>
  <c r="S627" i="22"/>
  <c r="AM627" i="22" s="1"/>
  <c r="AM879" i="22"/>
  <c r="AG896" i="22"/>
  <c r="AG892" i="22"/>
  <c r="AL889" i="22"/>
  <c r="AN887" i="22"/>
  <c r="S632" i="22"/>
  <c r="AM632" i="22" s="1"/>
  <c r="AM884" i="22"/>
  <c r="Q630" i="22"/>
  <c r="AK630" i="22" s="1"/>
  <c r="AK882" i="22"/>
  <c r="S628" i="22"/>
  <c r="AM628" i="22" s="1"/>
  <c r="AM880" i="22"/>
  <c r="Q626" i="22"/>
  <c r="AK626" i="22" s="1"/>
  <c r="AK878" i="22"/>
  <c r="T625" i="22"/>
  <c r="AN625" i="22" s="1"/>
  <c r="AN877" i="22"/>
  <c r="O624" i="22"/>
  <c r="AI624" i="22" s="1"/>
  <c r="AI876" i="22"/>
  <c r="M634" i="22"/>
  <c r="AG634" i="22" s="1"/>
  <c r="M622" i="22"/>
  <c r="AG622" i="22" s="1"/>
  <c r="AG874" i="22"/>
  <c r="AL873" i="22"/>
  <c r="AH873" i="22"/>
  <c r="AN872" i="22"/>
  <c r="AJ872" i="22"/>
  <c r="AL871" i="22"/>
  <c r="AH871" i="22"/>
  <c r="AN870" i="22"/>
  <c r="AJ870" i="22"/>
  <c r="AL869" i="22"/>
  <c r="AH869" i="22"/>
  <c r="AN868" i="22"/>
  <c r="AJ868" i="22"/>
  <c r="AL867" i="22"/>
  <c r="AH867" i="22"/>
  <c r="AN866" i="22"/>
  <c r="AJ866" i="22"/>
  <c r="AL865" i="22"/>
  <c r="AH865" i="22"/>
  <c r="AN864" i="22"/>
  <c r="AJ864" i="22"/>
  <c r="AL863" i="22"/>
  <c r="AH863" i="22"/>
  <c r="AN862" i="22"/>
  <c r="AJ862" i="22"/>
  <c r="O628" i="22"/>
  <c r="AI628" i="22" s="1"/>
  <c r="AI880" i="22"/>
  <c r="S624" i="22"/>
  <c r="AM624" i="22" s="1"/>
  <c r="AM876" i="22"/>
  <c r="Q634" i="22"/>
  <c r="AK634" i="22" s="1"/>
  <c r="Q622" i="22"/>
  <c r="AK622" i="22" s="1"/>
  <c r="AK874" i="22"/>
  <c r="R627" i="22"/>
  <c r="AL627" i="22" s="1"/>
  <c r="AL879" i="22"/>
  <c r="P625" i="22"/>
  <c r="AJ625" i="22" s="1"/>
  <c r="AJ877" i="22"/>
  <c r="N623" i="22"/>
  <c r="AH623" i="22" s="1"/>
  <c r="AH875" i="22"/>
  <c r="M626" i="22"/>
  <c r="AG626" i="22" s="1"/>
  <c r="AG878" i="22"/>
  <c r="R623" i="22"/>
  <c r="AL623" i="22" s="1"/>
  <c r="AL875" i="22"/>
</calcChain>
</file>

<file path=xl/sharedStrings.xml><?xml version="1.0" encoding="utf-8"?>
<sst xmlns="http://schemas.openxmlformats.org/spreadsheetml/2006/main" count="3128" uniqueCount="436">
  <si>
    <t>NR</t>
  </si>
  <si>
    <t>STATION</t>
  </si>
  <si>
    <t>HAVSVATTENSTÅND</t>
  </si>
  <si>
    <t>Stationsuppgifter</t>
  </si>
  <si>
    <t>EKVATION</t>
  </si>
  <si>
    <t>Höjd-system RH2000   cm</t>
  </si>
  <si>
    <t>Höjd-system  RH70   cm</t>
  </si>
  <si>
    <t>Höjd-system  RH00   cm</t>
  </si>
  <si>
    <t>1974-</t>
  </si>
  <si>
    <t>1916-</t>
  </si>
  <si>
    <t>1891-</t>
  </si>
  <si>
    <t>1982-</t>
  </si>
  <si>
    <t>1968-</t>
  </si>
  <si>
    <t>1891-1978</t>
  </si>
  <si>
    <t>1975-</t>
  </si>
  <si>
    <t>1889-</t>
  </si>
  <si>
    <t>1964-</t>
  </si>
  <si>
    <t>1851-</t>
  </si>
  <si>
    <t>1960-</t>
  </si>
  <si>
    <t>1886-</t>
  </si>
  <si>
    <t>1886-1982</t>
  </si>
  <si>
    <t>1929-</t>
  </si>
  <si>
    <t>1992-</t>
  </si>
  <si>
    <t>1937-</t>
  </si>
  <si>
    <t>1976-</t>
  </si>
  <si>
    <t>1967-</t>
  </si>
  <si>
    <t>1962-</t>
  </si>
  <si>
    <t>1910-</t>
  </si>
  <si>
    <t>1973-</t>
  </si>
  <si>
    <t>2004-</t>
  </si>
  <si>
    <t>LOKALT = Stationens egna lokala höjdsystem</t>
  </si>
  <si>
    <t>RH00 = Rikets höjdsystem 1900</t>
  </si>
  <si>
    <t>RH70 = Rikets höjdsystem 1970</t>
  </si>
  <si>
    <t>RH2000 = Rikets höjdsystem 2000</t>
  </si>
  <si>
    <t>Rödmarkerade värden i kursivt är uppskattade värden!</t>
  </si>
  <si>
    <t>1886-2006</t>
  </si>
  <si>
    <t>1886-1987</t>
  </si>
  <si>
    <t>1924-1963</t>
  </si>
  <si>
    <t>EVRF2007 = European Vertical Reference Frame 2007</t>
  </si>
  <si>
    <t>2010-</t>
  </si>
  <si>
    <t>65° 41' 49''</t>
  </si>
  <si>
    <t>23° 05' 46''</t>
  </si>
  <si>
    <t>LATITUD</t>
  </si>
  <si>
    <t>LONGITUD</t>
  </si>
  <si>
    <t>21° 13' 50''</t>
  </si>
  <si>
    <t>64° 54' 57''</t>
  </si>
  <si>
    <t>63° 59' 10''</t>
  </si>
  <si>
    <t>63° 11' 26''</t>
  </si>
  <si>
    <t>62° 21' 48''</t>
  </si>
  <si>
    <t>60° 24' 31''</t>
  </si>
  <si>
    <t>59° 19' 27''</t>
  </si>
  <si>
    <t>58° 46' 08''</t>
  </si>
  <si>
    <t>58° 33' 13''</t>
  </si>
  <si>
    <t>57° 38' 21''</t>
  </si>
  <si>
    <t>57° 21' 58''</t>
  </si>
  <si>
    <t>57° 16' 30''</t>
  </si>
  <si>
    <t>56° 06' 19''</t>
  </si>
  <si>
    <t>55° 33' 27''</t>
  </si>
  <si>
    <t>55° 25' 00''</t>
  </si>
  <si>
    <t>55° 31' 20''</t>
  </si>
  <si>
    <t>55° 45' 23''</t>
  </si>
  <si>
    <t>56° 08' 32''</t>
  </si>
  <si>
    <t>57° 14' 59''</t>
  </si>
  <si>
    <t>57° 41' 05''</t>
  </si>
  <si>
    <t>58° 05' 36''</t>
  </si>
  <si>
    <t>58° 21' 13''</t>
  </si>
  <si>
    <t>58° 59' 48''</t>
  </si>
  <si>
    <t>20° 53' 42''</t>
  </si>
  <si>
    <t>19° 00' 45''</t>
  </si>
  <si>
    <t>17° 31' 52''</t>
  </si>
  <si>
    <t>18° 12' 39''</t>
  </si>
  <si>
    <t>18° 04' 55''</t>
  </si>
  <si>
    <t>17° 51' 32''</t>
  </si>
  <si>
    <t>16° 50' 14''</t>
  </si>
  <si>
    <t>18° 17' 04''</t>
  </si>
  <si>
    <t>17° 05' 50''</t>
  </si>
  <si>
    <t>16° 28' 41''</t>
  </si>
  <si>
    <t>15° 35' 22''</t>
  </si>
  <si>
    <t>14° 21' 28''</t>
  </si>
  <si>
    <t>12° 49' 47''</t>
  </si>
  <si>
    <t>12° 53' 37''</t>
  </si>
  <si>
    <t>12° 54' 12''</t>
  </si>
  <si>
    <t>12° 34' 45''</t>
  </si>
  <si>
    <t>12° 06' 45''</t>
  </si>
  <si>
    <t>11° 47' 26''</t>
  </si>
  <si>
    <t>11° 49' 57''</t>
  </si>
  <si>
    <t>11° 13' 04''</t>
  </si>
  <si>
    <t>11° 07' 38''</t>
  </si>
  <si>
    <t>Höjd- system EVRF2007   cm</t>
  </si>
  <si>
    <t>EKVATIONER FÖR</t>
  </si>
  <si>
    <t>65° 46' 18''</t>
  </si>
  <si>
    <t>23° 54' 11''</t>
  </si>
  <si>
    <t>2014-</t>
  </si>
  <si>
    <t>2011-2012</t>
  </si>
  <si>
    <t>2011-2014</t>
  </si>
  <si>
    <t>55° 55' 42''</t>
  </si>
  <si>
    <t>14° 19' 43''</t>
  </si>
  <si>
    <t>56° 17' 53''</t>
  </si>
  <si>
    <t>12° 47' 12''</t>
  </si>
  <si>
    <t>57° 23' 31''</t>
  </si>
  <si>
    <t>11° 55' 09''</t>
  </si>
  <si>
    <t>58° 20' 51''</t>
  </si>
  <si>
    <t>11° 53' 41''</t>
  </si>
  <si>
    <t>58° 29' 03''</t>
  </si>
  <si>
    <t>16° 57' 38''</t>
  </si>
  <si>
    <t>Absolut landhöjning NKG2016LU (Abs)        cm/år</t>
  </si>
  <si>
    <t>SEALEVEL</t>
  </si>
  <si>
    <t>LATITUDE</t>
  </si>
  <si>
    <t>LONGITUDE</t>
  </si>
  <si>
    <t>Height system RH00   cm</t>
  </si>
  <si>
    <t>Height system RH70 cm</t>
  </si>
  <si>
    <t>Height system RH2000 cm</t>
  </si>
  <si>
    <t>Height system EVRF2007 cm</t>
  </si>
  <si>
    <t>RH00 = Swedish Height System 1900</t>
  </si>
  <si>
    <t>RH70 = Swedish Height System 1970</t>
  </si>
  <si>
    <t>RH2000 = Swedish Height System 2000</t>
  </si>
  <si>
    <t>* Relativ landhöjning för mätperioden</t>
  </si>
  <si>
    <t>* Relative landuplift for the measurement period</t>
  </si>
  <si>
    <t>Havsnivå- höjning SMHI     (Slr) cm/år</t>
  </si>
  <si>
    <t>17° 28' 00''</t>
  </si>
  <si>
    <t>62° 20' 00''</t>
  </si>
  <si>
    <t>17° 52' 00''</t>
  </si>
  <si>
    <t>58° 45' 00''</t>
  </si>
  <si>
    <t>13° 49' 00''</t>
  </si>
  <si>
    <t>13° 00' 00''</t>
  </si>
  <si>
    <t>55° 37' 00''</t>
  </si>
  <si>
    <t>12° 13' 00''</t>
  </si>
  <si>
    <t>57° 06' 00''</t>
  </si>
  <si>
    <t>43/35115</t>
  </si>
  <si>
    <t>HALMSTAD (SJÖV)</t>
  </si>
  <si>
    <t>56° 38' 56''</t>
  </si>
  <si>
    <t>12° 50' 09''</t>
  </si>
  <si>
    <t>65° 47' 20''</t>
  </si>
  <si>
    <t>23° 18' 12''</t>
  </si>
  <si>
    <t>59/35103</t>
  </si>
  <si>
    <t>KALIX KARLSBORG (SJÖV)</t>
  </si>
  <si>
    <t>115/35183</t>
  </si>
  <si>
    <t>STRÖMÖREN (SJÖV)</t>
  </si>
  <si>
    <t>65° 32' 59''</t>
  </si>
  <si>
    <t>22° 14' 18''</t>
  </si>
  <si>
    <t>GÅSÖREN (SJÖV)</t>
  </si>
  <si>
    <t>40/35240</t>
  </si>
  <si>
    <t>FURUÖGRUND (SMHI)</t>
  </si>
  <si>
    <t>RATAN (SMHI)</t>
  </si>
  <si>
    <t>SPIKARNA (SMHI)</t>
  </si>
  <si>
    <t>FORSMARK (SMHI)</t>
  </si>
  <si>
    <t>KUNGSVIK (SMHI)</t>
  </si>
  <si>
    <t>SMÖGEN (SMHI)</t>
  </si>
  <si>
    <t>STENUNGSUND (SMHI)</t>
  </si>
  <si>
    <t>RINGHALS (SMHI)</t>
  </si>
  <si>
    <t>VISBY (SMHI)</t>
  </si>
  <si>
    <t>LANDSORT NORRA (SMHI)</t>
  </si>
  <si>
    <t>STOCKHOLM (SMHI)</t>
  </si>
  <si>
    <t>ÖLANDS NORRA UDDE (SMHI)</t>
  </si>
  <si>
    <t>OSKARSHAMN (SMHI)</t>
  </si>
  <si>
    <t>KUNGSHOLMSFORT (SMHI)</t>
  </si>
  <si>
    <t>SIMRISHAMN (SMHI)</t>
  </si>
  <si>
    <t>SKANÖR (SMHI)</t>
  </si>
  <si>
    <t>KLAGSHAMN (SMHI)</t>
  </si>
  <si>
    <t>BARSEBÄCK (SMHI)</t>
  </si>
  <si>
    <t>VIKEN (SMHI)</t>
  </si>
  <si>
    <t>110/35138</t>
  </si>
  <si>
    <t>Apparent landhöjning * cm/år</t>
  </si>
  <si>
    <t>17° 52' 35''</t>
  </si>
  <si>
    <t>HOLMSUND (SJÖV)</t>
  </si>
  <si>
    <t>57/35124</t>
  </si>
  <si>
    <t>63° 41' 45''</t>
  </si>
  <si>
    <t>20° 20' 50''</t>
  </si>
  <si>
    <t>61° 12' 25''</t>
  </si>
  <si>
    <t>17° 08' 44''</t>
  </si>
  <si>
    <t>60° 44' 19''</t>
  </si>
  <si>
    <t>17° 19' 07''</t>
  </si>
  <si>
    <t>33/35119</t>
  </si>
  <si>
    <t>LJUSNE ORRSKÄRSKAJEN (SJÖV)</t>
  </si>
  <si>
    <t>BÖNAN (SJÖV)</t>
  </si>
  <si>
    <t>LOUDDEN (SJÖV)</t>
  </si>
  <si>
    <t>59° 20' 29''</t>
  </si>
  <si>
    <t>18° 08' 14''</t>
  </si>
  <si>
    <t>67/35154</t>
  </si>
  <si>
    <t>58° 55' 03''</t>
  </si>
  <si>
    <t>17° 58' 20''</t>
  </si>
  <si>
    <t>34/35185</t>
  </si>
  <si>
    <t>58/35101</t>
  </si>
  <si>
    <t>E4 BRON SÖDERTÄLJE (SJÖV)</t>
  </si>
  <si>
    <t>JUTEN (SJÖV)</t>
  </si>
  <si>
    <t>59° 11' 05''</t>
  </si>
  <si>
    <t>17° 38' 34''</t>
  </si>
  <si>
    <t>58° 39' 42''</t>
  </si>
  <si>
    <t>17° 07' 29''</t>
  </si>
  <si>
    <t>58° 38' 03''</t>
  </si>
  <si>
    <t>16° 19' 29''</t>
  </si>
  <si>
    <t>93/35151</t>
  </si>
  <si>
    <t>57° 44' 54''</t>
  </si>
  <si>
    <t>16° 40' 31''</t>
  </si>
  <si>
    <t>2080/33060</t>
  </si>
  <si>
    <t>SLITE (SJÖV)</t>
  </si>
  <si>
    <t>81/35114</t>
  </si>
  <si>
    <t>57° 42' 21''</t>
  </si>
  <si>
    <t>18° 48' 36''</t>
  </si>
  <si>
    <t>2083/33061</t>
  </si>
  <si>
    <t>77/35200</t>
  </si>
  <si>
    <t>57° 24' 37''</t>
  </si>
  <si>
    <t>16° 40' 33''</t>
  </si>
  <si>
    <t>KALMAR (SJÖV)</t>
  </si>
  <si>
    <t>2085/33062</t>
  </si>
  <si>
    <t>2088/33063</t>
  </si>
  <si>
    <t>60/35105</t>
  </si>
  <si>
    <t>56° 39' 32''</t>
  </si>
  <si>
    <t>16° 22' 42''</t>
  </si>
  <si>
    <t>2157/33051</t>
  </si>
  <si>
    <t>2588/33088</t>
  </si>
  <si>
    <t>2055/33052</t>
  </si>
  <si>
    <t>2056/33053</t>
  </si>
  <si>
    <t>2321/33054</t>
  </si>
  <si>
    <t>2062/33074</t>
  </si>
  <si>
    <t>2061/33055</t>
  </si>
  <si>
    <t>2067/33075</t>
  </si>
  <si>
    <t>2179/33056</t>
  </si>
  <si>
    <t>2069/33057</t>
  </si>
  <si>
    <t>2507/33058</t>
  </si>
  <si>
    <t>2076/33059</t>
  </si>
  <si>
    <t>2073/33076</t>
  </si>
  <si>
    <t>2098/33077</t>
  </si>
  <si>
    <t>2543/33083</t>
  </si>
  <si>
    <t>2320/33064</t>
  </si>
  <si>
    <t>2093/33078</t>
  </si>
  <si>
    <t>30488/33065</t>
  </si>
  <si>
    <t>2095/33066</t>
  </si>
  <si>
    <t>2099/33067</t>
  </si>
  <si>
    <t>2228/33068</t>
  </si>
  <si>
    <t>2105/33069</t>
  </si>
  <si>
    <t>2544/33084</t>
  </si>
  <si>
    <t>2109/33070</t>
  </si>
  <si>
    <t>2110/33071</t>
  </si>
  <si>
    <t>2111/33072</t>
  </si>
  <si>
    <t>2130/33073</t>
  </si>
  <si>
    <t>2541/33081</t>
  </si>
  <si>
    <t>2542/33082</t>
  </si>
  <si>
    <t>2104/33079</t>
  </si>
  <si>
    <t>Apparent landuplift * cm/year</t>
  </si>
  <si>
    <t>SIMPEVARP (SKB)</t>
  </si>
  <si>
    <t>64° 40' 43''</t>
  </si>
  <si>
    <t>21° 14' 57''</t>
  </si>
  <si>
    <t>KARLSHAMN (SJÖV)</t>
  </si>
  <si>
    <t>61/35131</t>
  </si>
  <si>
    <t>56° 09' 15''</t>
  </si>
  <si>
    <t>14° 49' 17''</t>
  </si>
  <si>
    <t>FLINTEN 16 (SJÖV)</t>
  </si>
  <si>
    <t>FLINTEN 7 (SJÖV)</t>
  </si>
  <si>
    <t>91/35136</t>
  </si>
  <si>
    <t>86/35137</t>
  </si>
  <si>
    <t>55° 33' 40''</t>
  </si>
  <si>
    <t>12° 48' 34''</t>
  </si>
  <si>
    <t>55° 35' 22''</t>
  </si>
  <si>
    <t>12° 50' 40''</t>
  </si>
  <si>
    <t>MALMÖ HAMN (SJÖV)</t>
  </si>
  <si>
    <t>68/35152</t>
  </si>
  <si>
    <t>55° 36' 49''</t>
  </si>
  <si>
    <t>12° 59' 51''</t>
  </si>
  <si>
    <t>HELSINGBORG (SJÖV)</t>
  </si>
  <si>
    <t>56° 02' 41''</t>
  </si>
  <si>
    <t>12° 41' 14''</t>
  </si>
  <si>
    <t>45/35110</t>
  </si>
  <si>
    <t>56° 53' 31''</t>
  </si>
  <si>
    <t>12° 29' 22''</t>
  </si>
  <si>
    <t>FÖRKLARING</t>
  </si>
  <si>
    <t>DESCRIPTION</t>
  </si>
  <si>
    <t>114/35144</t>
  </si>
  <si>
    <t>57° 37' 54''</t>
  </si>
  <si>
    <t>11° 36' 32''</t>
  </si>
  <si>
    <t>MARSTRAND (SJÖV)</t>
  </si>
  <si>
    <t>69/35104</t>
  </si>
  <si>
    <t>57° 53' 13''</t>
  </si>
  <si>
    <t>11° 35' 37''</t>
  </si>
  <si>
    <t>BROFJORDEN (SJÖV)</t>
  </si>
  <si>
    <t>58° 20' 10''</t>
  </si>
  <si>
    <t>11° 24' 17''</t>
  </si>
  <si>
    <t>32/35109</t>
  </si>
  <si>
    <t>OBS! Ändra årtal endast här!</t>
  </si>
  <si>
    <r>
      <rPr>
        <i/>
        <sz val="8"/>
        <color rgb="FFFF0000"/>
        <rFont val="Calibri"/>
        <family val="2"/>
        <scheme val="minor"/>
      </rPr>
      <t xml:space="preserve">Kursiva värden i rött </t>
    </r>
    <r>
      <rPr>
        <sz val="8"/>
        <rFont val="Calibri"/>
        <family val="2"/>
        <scheme val="minor"/>
      </rPr>
      <t>är uppskattningar</t>
    </r>
  </si>
  <si>
    <r>
      <rPr>
        <i/>
        <sz val="8"/>
        <color rgb="FFFF0000"/>
        <rFont val="Calibri"/>
        <family val="2"/>
        <scheme val="minor"/>
      </rPr>
      <t>Cursive values in red</t>
    </r>
    <r>
      <rPr>
        <sz val="8"/>
        <rFont val="Calibri"/>
        <family val="2"/>
        <scheme val="minor"/>
      </rPr>
      <t xml:space="preserve"> are approximations</t>
    </r>
  </si>
  <si>
    <t>VÄSTERVIK (SJÖV)</t>
  </si>
  <si>
    <t>NaN</t>
  </si>
  <si>
    <t>MONTH</t>
  </si>
  <si>
    <t>MIN</t>
  </si>
  <si>
    <t>MAX</t>
  </si>
  <si>
    <t>MEAN</t>
  </si>
  <si>
    <t>STD</t>
  </si>
  <si>
    <t>THRSHLD_LOW</t>
  </si>
  <si>
    <t>THRSHLD_HIGH</t>
  </si>
  <si>
    <t>REP_CNT_FAIL</t>
  </si>
  <si>
    <t>REP_CNT_SUSPECT</t>
  </si>
  <si>
    <t>TEPS</t>
  </si>
  <si>
    <t>N_DEV</t>
  </si>
  <si>
    <t>OBS</t>
  </si>
  <si>
    <t>CELL</t>
  </si>
  <si>
    <t>"</t>
  </si>
  <si>
    <t>DEPTH</t>
  </si>
  <si>
    <t>CHANNEL</t>
  </si>
  <si>
    <t>Latitud</t>
  </si>
  <si>
    <t>Longitud</t>
  </si>
  <si>
    <t>Kanalnummer SMHI</t>
  </si>
  <si>
    <t>Mätdjup (m)</t>
  </si>
  <si>
    <t>Månad</t>
  </si>
  <si>
    <t>Observerat medelvattenstånd (m)</t>
  </si>
  <si>
    <t>TIM_DEV</t>
  </si>
  <si>
    <t>Standardavvikelse (m), för ClimatologyTest</t>
  </si>
  <si>
    <t>Högsta observerade vattenstånd (m), gränsvärde för ClimatologyTest</t>
  </si>
  <si>
    <t>Lägsta observerade vattenstånd (m), gränsvärde för ClimatologyTest</t>
  </si>
  <si>
    <t>Lägsta tröskelvärde (m) för SpikeTest</t>
  </si>
  <si>
    <t>Högsta tröskelvärde (m) för SpikeTest</t>
  </si>
  <si>
    <t>Antal standardavvikelser i RateOfChangeTest</t>
  </si>
  <si>
    <t>N/A</t>
  </si>
  <si>
    <t>Antal återkommande minuter för FlatlineTest, FAIL</t>
  </si>
  <si>
    <t>Antal återkommande minuter för FlatlineTest, SUSPECT</t>
  </si>
  <si>
    <t>Toleransvärde (m), avrundning i FlatLineTest</t>
  </si>
  <si>
    <t>Antal timmar i RateOfChangeTest</t>
  </si>
  <si>
    <t>Antal observationer</t>
  </si>
  <si>
    <t>Gränsvärden relativt medelvattenstånd (m)</t>
  </si>
  <si>
    <t>Stationsnummer</t>
  </si>
  <si>
    <t>STATNR</t>
  </si>
  <si>
    <t>DEV</t>
  </si>
  <si>
    <t>UDDEVALLA (SMHI)</t>
  </si>
  <si>
    <t>2014-2017</t>
  </si>
  <si>
    <t>100/35171</t>
  </si>
  <si>
    <t>MÅVHOLMSBÅDAN (SJÖV)</t>
  </si>
  <si>
    <t>57° 40' 20''</t>
  </si>
  <si>
    <t>11° 42' 27''</t>
  </si>
  <si>
    <t>57° 43' 05''</t>
  </si>
  <si>
    <t>11° 58' 06''</t>
  </si>
  <si>
    <t>2108/33080</t>
  </si>
  <si>
    <t>11° 54' 30''</t>
  </si>
  <si>
    <t>57° 41' 30''</t>
  </si>
  <si>
    <t>1959-1974</t>
  </si>
  <si>
    <t>1887-1958</t>
  </si>
  <si>
    <t>57° 41' 29''</t>
  </si>
  <si>
    <t>57° 42' 53''</t>
  </si>
  <si>
    <t>57° 43' 23''</t>
  </si>
  <si>
    <t>57° 45' 57''</t>
  </si>
  <si>
    <t>57° 47' 23''</t>
  </si>
  <si>
    <t>57° 41' 48''</t>
  </si>
  <si>
    <t>58° 15' 00''</t>
  </si>
  <si>
    <t>11° 54' 04''</t>
  </si>
  <si>
    <t>11° 58' 01''</t>
  </si>
  <si>
    <t>11° 59' 13''</t>
  </si>
  <si>
    <t>12° 00' 20''</t>
  </si>
  <si>
    <t>12° 00' 36''</t>
  </si>
  <si>
    <t>11° 54' 32''</t>
  </si>
  <si>
    <t>11° 27' 00''</t>
  </si>
  <si>
    <t>GÖTEBORG-GÖTAÄLVBRON (GBG)</t>
  </si>
  <si>
    <t>GÖTEBORG-LÄRJEHOLM (GBG)</t>
  </si>
  <si>
    <t>GÖTEBORG-AGNESBERG (GBG)</t>
  </si>
  <si>
    <t>GÖTEBORG-ERIKSBERG (GBG)</t>
  </si>
  <si>
    <t>KRISTINEBERG (GU)</t>
  </si>
  <si>
    <t>2545/33085</t>
  </si>
  <si>
    <t>94/35159</t>
  </si>
  <si>
    <t>2508/33089</t>
  </si>
  <si>
    <t>81/35133</t>
  </si>
  <si>
    <t>57° 06' 40''</t>
  </si>
  <si>
    <t>12° 14' 19''</t>
  </si>
  <si>
    <t>ARKÖ (SMHI)</t>
  </si>
  <si>
    <t>36/35213</t>
  </si>
  <si>
    <t>TÅNGUDDEN GBG HAMN (SJÖV)</t>
  </si>
  <si>
    <t>57° 40' 55''</t>
  </si>
  <si>
    <t>11° 52' 20''</t>
  </si>
  <si>
    <t>GÖTEBORG-TORSHAMNEN (SMHI)</t>
  </si>
  <si>
    <t>Avvägd landhöjning NKG2016LU (Lev)      cm/år</t>
  </si>
  <si>
    <t>2012-</t>
  </si>
  <si>
    <t>ONSALA (CTH)</t>
  </si>
  <si>
    <t>10/35118</t>
  </si>
  <si>
    <t>Class</t>
  </si>
  <si>
    <t>1982-2018</t>
  </si>
  <si>
    <t>Skagsudde (SMHI) nedlagd</t>
  </si>
  <si>
    <t>2019-</t>
  </si>
  <si>
    <t>1897-1969</t>
  </si>
  <si>
    <t>Göteborg-Ringön (SMHI) nedlagd</t>
  </si>
  <si>
    <t>Haparanda (SMHI) nedlagd</t>
  </si>
  <si>
    <t>Draghällan (SMHI) nedlagd</t>
  </si>
  <si>
    <t>Björn (SMHI) nedlagd</t>
  </si>
  <si>
    <t>Landsort (SMHI) nedlagd</t>
  </si>
  <si>
    <t>Ystad (SMHI) nedlagd</t>
  </si>
  <si>
    <t>Malmö (SMHI) nedlagd</t>
  </si>
  <si>
    <t>Ängelholm (SMHI) nedlagd</t>
  </si>
  <si>
    <t>Varberg (SMHI) nedlagd</t>
  </si>
  <si>
    <t>Göteborg-Klippan (SMHI) nedlagd</t>
  </si>
  <si>
    <t>Åhus (SMHI) nedlagd</t>
  </si>
  <si>
    <t>Marviken (SMHI) nedlagd</t>
  </si>
  <si>
    <t>Data period</t>
  </si>
  <si>
    <t>Ref.värde RH2000 apparent landhöjning cm</t>
  </si>
  <si>
    <t>2018-</t>
  </si>
  <si>
    <t>Göteborg-Älvsborgsbron (GBG)</t>
  </si>
  <si>
    <t>GÖTEBORG-TINGSTADSTUNNELN (GBG)</t>
  </si>
  <si>
    <t>LUNDE (SJÖV)</t>
  </si>
  <si>
    <t>172/35209</t>
  </si>
  <si>
    <t>NYNÄS FISKEHAMN (SJÖV)</t>
  </si>
  <si>
    <t>OXELÖSUND VINTERKLASEN (SJÖV)</t>
  </si>
  <si>
    <r>
      <rPr>
        <i/>
        <sz val="9"/>
        <color rgb="FFFF0000"/>
        <rFont val="Calibri"/>
        <family val="2"/>
        <scheme val="minor"/>
      </rPr>
      <t xml:space="preserve">Kursiva värden i rött </t>
    </r>
    <r>
      <rPr>
        <sz val="9"/>
        <rFont val="Calibri"/>
        <family val="2"/>
        <scheme val="minor"/>
      </rPr>
      <t>är interpolerade värden från närmaste station(er)</t>
    </r>
  </si>
  <si>
    <t>62° 52' 50''</t>
  </si>
  <si>
    <t>FALKENBERG (SJÖV)</t>
  </si>
  <si>
    <t>SKAGSUDDE2 (SJÖV)</t>
  </si>
  <si>
    <t>YSTAD2 (SJÖV)</t>
  </si>
  <si>
    <t>VINGA2 (SJÖV)</t>
  </si>
  <si>
    <t>VARBERG2 (SJÖV)</t>
  </si>
  <si>
    <t>Apparent landhöjning *  cm/år</t>
  </si>
  <si>
    <t>MWREG OLD  Absolut landhöjning NKG2016LU (Abs)          cm/år</t>
  </si>
  <si>
    <t>SMHI SHAPE Absolut landhöjning NKG2016LU (Abs)        cm/år</t>
  </si>
  <si>
    <t>SJÖV GRID Absolut landhöjning NKG2016LU (Abs)        cm/år</t>
  </si>
  <si>
    <t>SJÖV GRID Avvägd landhöjning NKG2016LU (Lev)      cm/år</t>
  </si>
  <si>
    <t>SMHI SHAPE Avvägd landhöjning NKG2016LU (Lev)       cm/år</t>
  </si>
  <si>
    <t>KALIX STORÖN (SMHI)</t>
  </si>
  <si>
    <t>Opkt  cm</t>
  </si>
  <si>
    <t>Diff. RH2000            cm</t>
  </si>
  <si>
    <t>Diff. RH00           cm</t>
  </si>
  <si>
    <t>Diff. EVRF2007            cm</t>
  </si>
  <si>
    <t>Apparent landhöjning SJÖV/SMHI (App)      cm/år</t>
  </si>
  <si>
    <t>Diff.    RH70            cm</t>
  </si>
  <si>
    <t>66/35127</t>
  </si>
  <si>
    <t>173/35112</t>
  </si>
  <si>
    <t>MWREG OLD Avvägd landhöjning NKG2016LU (Lev)         cm/år</t>
  </si>
  <si>
    <t>60° 43' 09''</t>
  </si>
  <si>
    <t>19° 04' 08''</t>
  </si>
  <si>
    <t>?/?</t>
  </si>
  <si>
    <t>?</t>
  </si>
  <si>
    <t>KAPELLSKÄR (SJÖV) planerad</t>
  </si>
  <si>
    <t>Baseras på observationsdata t.o.m. 4 december 2020</t>
  </si>
  <si>
    <t>2009-</t>
  </si>
  <si>
    <t>2016-</t>
  </si>
  <si>
    <t>2011-</t>
  </si>
  <si>
    <t>2003-</t>
  </si>
  <si>
    <t>60° 38' 00''</t>
  </si>
  <si>
    <t>17° 58' 00''</t>
  </si>
  <si>
    <t>MEDELVATTENSTÅNDET I</t>
  </si>
  <si>
    <t>RIKETS HÖJDSYSTEM 2000 (RH 2000)</t>
  </si>
  <si>
    <t>där yyyy är årtalet</t>
  </si>
  <si>
    <t>Beräknat medelvattenstånd (MSL) i RH 2000 (cm)</t>
  </si>
  <si>
    <t>EKVATIONER FÖR MEDELVATTENSTÅNDET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</si>
</sst>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0.0000"/>
    <numFmt numFmtId="167" formatCode="0.000000"/>
    <numFmt numFmtId="168" formatCode="0.0000000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8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0"/>
      <name val="Arial"/>
      <family val="2"/>
    </font>
    <font>
      <i/>
      <sz val="9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i/>
      <sz val="9"/>
      <color indexed="1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1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FF0000"/>
      <name val="Calibri"/>
      <family val="2"/>
      <scheme val="minor"/>
    </font>
    <font>
      <i/>
      <sz val="8"/>
      <color rgb="FFFF0000"/>
      <name val="Calibri"/>
      <family val="2"/>
      <scheme val="minor"/>
    </font>
    <font>
      <sz val="9"/>
      <name val="Arial"/>
      <family val="2"/>
    </font>
    <font>
      <b/>
      <sz val="9"/>
      <color theme="1"/>
      <name val="Calibri"/>
      <family val="2"/>
      <scheme val="minor"/>
    </font>
    <font>
      <i/>
      <sz val="9"/>
      <color rgb="FFFF0000"/>
      <name val="Calibri"/>
      <family val="2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i/>
      <sz val="9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color rgb="FF363636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0">
    <xf numFmtId="0" fontId="0" fillId="0" borderId="0"/>
    <xf numFmtId="0" fontId="4" fillId="0" borderId="0"/>
    <xf numFmtId="0" fontId="8" fillId="0" borderId="0"/>
    <xf numFmtId="0" fontId="23" fillId="0" borderId="0"/>
    <xf numFmtId="0" fontId="3" fillId="0" borderId="0"/>
    <xf numFmtId="0" fontId="4" fillId="0" borderId="0"/>
    <xf numFmtId="0" fontId="2" fillId="0" borderId="0"/>
    <xf numFmtId="0" fontId="1" fillId="0" borderId="0"/>
    <xf numFmtId="0" fontId="8" fillId="0" borderId="0"/>
    <xf numFmtId="0" fontId="8" fillId="0" borderId="0"/>
  </cellStyleXfs>
  <cellXfs count="230">
    <xf numFmtId="0" fontId="0" fillId="0" borderId="0" xfId="0"/>
    <xf numFmtId="0" fontId="6" fillId="0" borderId="0" xfId="1" applyFont="1" applyBorder="1" applyAlignment="1">
      <alignment horizontal="center"/>
    </xf>
    <xf numFmtId="0" fontId="6" fillId="0" borderId="0" xfId="1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7" fillId="0" borderId="0" xfId="1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7" fillId="0" borderId="0" xfId="1" applyFont="1" applyBorder="1" applyAlignment="1">
      <alignment horizontal="center"/>
    </xf>
    <xf numFmtId="14" fontId="6" fillId="0" borderId="0" xfId="1" applyNumberFormat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 wrapText="1"/>
    </xf>
    <xf numFmtId="165" fontId="6" fillId="0" borderId="0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left"/>
    </xf>
    <xf numFmtId="1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left"/>
    </xf>
    <xf numFmtId="165" fontId="9" fillId="0" borderId="0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left"/>
    </xf>
    <xf numFmtId="1" fontId="9" fillId="0" borderId="0" xfId="0" applyNumberFormat="1" applyFont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left"/>
    </xf>
    <xf numFmtId="1" fontId="6" fillId="0" borderId="0" xfId="0" applyNumberFormat="1" applyFont="1" applyBorder="1" applyAlignment="1">
      <alignment horizontal="left"/>
    </xf>
    <xf numFmtId="165" fontId="6" fillId="0" borderId="0" xfId="0" applyNumberFormat="1" applyFont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1" fontId="6" fillId="0" borderId="0" xfId="1" applyNumberFormat="1" applyFont="1" applyBorder="1" applyAlignment="1">
      <alignment horizontal="center"/>
    </xf>
    <xf numFmtId="165" fontId="6" fillId="0" borderId="0" xfId="1" applyNumberFormat="1" applyFont="1" applyBorder="1" applyAlignment="1">
      <alignment horizontal="center"/>
    </xf>
    <xf numFmtId="164" fontId="6" fillId="0" borderId="0" xfId="0" applyNumberFormat="1" applyFont="1" applyFill="1"/>
    <xf numFmtId="2" fontId="6" fillId="0" borderId="0" xfId="0" applyNumberFormat="1" applyFont="1"/>
    <xf numFmtId="1" fontId="7" fillId="0" borderId="0" xfId="1" applyNumberFormat="1" applyFont="1" applyBorder="1" applyAlignment="1">
      <alignment horizontal="center"/>
    </xf>
    <xf numFmtId="0" fontId="6" fillId="0" borderId="0" xfId="0" applyFont="1" applyBorder="1" applyAlignment="1">
      <alignment horizontal="center" wrapText="1"/>
    </xf>
    <xf numFmtId="165" fontId="6" fillId="0" borderId="0" xfId="0" applyNumberFormat="1" applyFont="1" applyBorder="1" applyAlignment="1">
      <alignment horizontal="center" wrapText="1"/>
    </xf>
    <xf numFmtId="2" fontId="6" fillId="0" borderId="0" xfId="0" applyNumberFormat="1" applyFont="1" applyAlignment="1">
      <alignment horizontal="center"/>
    </xf>
    <xf numFmtId="165" fontId="6" fillId="0" borderId="0" xfId="0" applyNumberFormat="1" applyFont="1" applyFill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164" fontId="13" fillId="0" borderId="0" xfId="0" applyNumberFormat="1" applyFont="1" applyBorder="1" applyAlignment="1">
      <alignment horizontal="left"/>
    </xf>
    <xf numFmtId="165" fontId="6" fillId="0" borderId="0" xfId="1" applyNumberFormat="1" applyFont="1" applyFill="1" applyBorder="1" applyAlignment="1">
      <alignment horizontal="center"/>
    </xf>
    <xf numFmtId="0" fontId="14" fillId="0" borderId="0" xfId="1" applyFont="1" applyBorder="1" applyAlignment="1">
      <alignment horizontal="left"/>
    </xf>
    <xf numFmtId="1" fontId="9" fillId="0" borderId="0" xfId="0" applyNumberFormat="1" applyFont="1" applyBorder="1" applyAlignment="1">
      <alignment horizontal="center" wrapText="1"/>
    </xf>
    <xf numFmtId="0" fontId="6" fillId="0" borderId="0" xfId="0" applyFont="1" applyFill="1" applyAlignment="1">
      <alignment horizontal="center"/>
    </xf>
    <xf numFmtId="164" fontId="6" fillId="0" borderId="0" xfId="1" applyNumberFormat="1" applyFont="1" applyBorder="1" applyAlignment="1">
      <alignment horizontal="center"/>
    </xf>
    <xf numFmtId="165" fontId="9" fillId="0" borderId="0" xfId="0" applyNumberFormat="1" applyFont="1" applyFill="1" applyAlignment="1">
      <alignment horizontal="center"/>
    </xf>
    <xf numFmtId="165" fontId="9" fillId="0" borderId="0" xfId="0" applyNumberFormat="1" applyFont="1" applyFill="1" applyBorder="1" applyAlignment="1">
      <alignment horizontal="center"/>
    </xf>
    <xf numFmtId="166" fontId="6" fillId="0" borderId="0" xfId="0" applyNumberFormat="1" applyFont="1" applyFill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wrapText="1"/>
    </xf>
    <xf numFmtId="165" fontId="6" fillId="0" borderId="0" xfId="0" applyNumberFormat="1" applyFont="1" applyFill="1" applyBorder="1" applyAlignment="1">
      <alignment horizontal="center" wrapText="1"/>
    </xf>
    <xf numFmtId="1" fontId="11" fillId="0" borderId="0" xfId="0" applyNumberFormat="1" applyFont="1" applyFill="1" applyBorder="1" applyAlignment="1">
      <alignment horizontal="center"/>
    </xf>
    <xf numFmtId="1" fontId="9" fillId="0" borderId="0" xfId="1" applyNumberFormat="1" applyFont="1" applyFill="1" applyBorder="1" applyAlignment="1">
      <alignment horizontal="center"/>
    </xf>
    <xf numFmtId="1" fontId="9" fillId="0" borderId="6" xfId="0" applyNumberFormat="1" applyFont="1" applyBorder="1" applyAlignment="1">
      <alignment horizontal="center" wrapText="1"/>
    </xf>
    <xf numFmtId="1" fontId="9" fillId="0" borderId="5" xfId="0" applyNumberFormat="1" applyFont="1" applyBorder="1" applyAlignment="1">
      <alignment horizontal="center"/>
    </xf>
    <xf numFmtId="1" fontId="9" fillId="0" borderId="6" xfId="0" applyNumberFormat="1" applyFont="1" applyBorder="1" applyAlignment="1">
      <alignment horizontal="center"/>
    </xf>
    <xf numFmtId="165" fontId="9" fillId="0" borderId="6" xfId="0" applyNumberFormat="1" applyFont="1" applyBorder="1" applyAlignment="1">
      <alignment horizontal="center"/>
    </xf>
    <xf numFmtId="1" fontId="6" fillId="0" borderId="5" xfId="0" applyNumberFormat="1" applyFon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9" fillId="0" borderId="5" xfId="0" applyNumberFormat="1" applyFont="1" applyFill="1" applyBorder="1" applyAlignment="1">
      <alignment horizontal="center"/>
    </xf>
    <xf numFmtId="165" fontId="6" fillId="0" borderId="1" xfId="0" applyNumberFormat="1" applyFont="1" applyFill="1" applyBorder="1" applyAlignment="1">
      <alignment horizontal="center"/>
    </xf>
    <xf numFmtId="0" fontId="15" fillId="0" borderId="0" xfId="1" applyFont="1" applyBorder="1" applyAlignment="1">
      <alignment horizontal="left"/>
    </xf>
    <xf numFmtId="0" fontId="15" fillId="0" borderId="0" xfId="1" applyFont="1" applyBorder="1" applyAlignment="1">
      <alignment horizontal="center"/>
    </xf>
    <xf numFmtId="0" fontId="15" fillId="0" borderId="0" xfId="0" applyFont="1" applyBorder="1" applyAlignment="1">
      <alignment horizontal="left"/>
    </xf>
    <xf numFmtId="0" fontId="17" fillId="0" borderId="0" xfId="1" applyFont="1" applyBorder="1" applyAlignment="1">
      <alignment horizontal="left"/>
    </xf>
    <xf numFmtId="0" fontId="16" fillId="0" borderId="0" xfId="1" applyFont="1" applyBorder="1" applyAlignment="1">
      <alignment horizontal="center"/>
    </xf>
    <xf numFmtId="14" fontId="15" fillId="0" borderId="0" xfId="1" applyNumberFormat="1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1" fontId="16" fillId="0" borderId="1" xfId="0" applyNumberFormat="1" applyFont="1" applyBorder="1" applyAlignment="1">
      <alignment horizontal="center" wrapText="1"/>
    </xf>
    <xf numFmtId="0" fontId="16" fillId="0" borderId="1" xfId="0" applyFont="1" applyBorder="1" applyAlignment="1">
      <alignment horizontal="center" wrapText="1"/>
    </xf>
    <xf numFmtId="165" fontId="15" fillId="0" borderId="0" xfId="0" applyNumberFormat="1" applyFont="1" applyBorder="1" applyAlignment="1">
      <alignment horizontal="center"/>
    </xf>
    <xf numFmtId="165" fontId="18" fillId="0" borderId="0" xfId="0" applyNumberFormat="1" applyFont="1" applyBorder="1" applyAlignment="1">
      <alignment horizontal="center"/>
    </xf>
    <xf numFmtId="2" fontId="18" fillId="0" borderId="0" xfId="0" applyNumberFormat="1" applyFont="1" applyBorder="1" applyAlignment="1">
      <alignment horizontal="center"/>
    </xf>
    <xf numFmtId="2" fontId="15" fillId="0" borderId="0" xfId="0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164" fontId="15" fillId="0" borderId="0" xfId="0" applyNumberFormat="1" applyFont="1" applyBorder="1" applyAlignment="1">
      <alignment horizontal="center"/>
    </xf>
    <xf numFmtId="0" fontId="16" fillId="0" borderId="0" xfId="0" applyFont="1" applyBorder="1" applyAlignment="1">
      <alignment horizontal="left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left"/>
    </xf>
    <xf numFmtId="0" fontId="15" fillId="0" borderId="0" xfId="0" applyFont="1" applyFill="1"/>
    <xf numFmtId="166" fontId="6" fillId="0" borderId="0" xfId="0" applyNumberFormat="1" applyFont="1" applyBorder="1" applyAlignment="1">
      <alignment horizontal="center"/>
    </xf>
    <xf numFmtId="1" fontId="7" fillId="0" borderId="0" xfId="1" applyNumberFormat="1" applyFont="1" applyBorder="1" applyAlignment="1">
      <alignment horizontal="left"/>
    </xf>
    <xf numFmtId="0" fontId="20" fillId="0" borderId="0" xfId="0" applyFont="1" applyBorder="1" applyAlignment="1">
      <alignment horizontal="center" textRotation="90"/>
    </xf>
    <xf numFmtId="1" fontId="6" fillId="0" borderId="0" xfId="2" applyNumberFormat="1" applyFont="1" applyBorder="1" applyAlignment="1">
      <alignment horizontal="center"/>
    </xf>
    <xf numFmtId="164" fontId="6" fillId="0" borderId="0" xfId="2" applyNumberFormat="1" applyFont="1" applyBorder="1" applyAlignment="1">
      <alignment horizontal="center"/>
    </xf>
    <xf numFmtId="166" fontId="6" fillId="0" borderId="0" xfId="2" applyNumberFormat="1" applyFont="1" applyBorder="1" applyAlignment="1">
      <alignment horizontal="center"/>
    </xf>
    <xf numFmtId="166" fontId="6" fillId="0" borderId="1" xfId="0" applyNumberFormat="1" applyFont="1" applyBorder="1" applyAlignment="1">
      <alignment horizontal="center"/>
    </xf>
    <xf numFmtId="1" fontId="6" fillId="0" borderId="0" xfId="1" applyNumberFormat="1" applyFont="1" applyBorder="1" applyAlignment="1">
      <alignment horizontal="left"/>
    </xf>
    <xf numFmtId="166" fontId="6" fillId="0" borderId="0" xfId="1" applyNumberFormat="1" applyFont="1" applyBorder="1" applyAlignment="1">
      <alignment horizontal="center"/>
    </xf>
    <xf numFmtId="1" fontId="6" fillId="0" borderId="0" xfId="1" applyNumberFormat="1" applyFont="1" applyFill="1" applyBorder="1" applyAlignment="1">
      <alignment horizontal="center"/>
    </xf>
    <xf numFmtId="164" fontId="14" fillId="0" borderId="0" xfId="1" applyNumberFormat="1" applyFont="1" applyBorder="1" applyAlignment="1">
      <alignment horizontal="center"/>
    </xf>
    <xf numFmtId="164" fontId="7" fillId="0" borderId="0" xfId="1" applyNumberFormat="1" applyFont="1" applyBorder="1" applyAlignment="1">
      <alignment horizontal="center"/>
    </xf>
    <xf numFmtId="166" fontId="7" fillId="0" borderId="0" xfId="1" applyNumberFormat="1" applyFont="1" applyBorder="1" applyAlignment="1">
      <alignment horizontal="center"/>
    </xf>
    <xf numFmtId="0" fontId="6" fillId="0" borderId="0" xfId="0" applyFont="1" applyBorder="1" applyAlignment="1"/>
    <xf numFmtId="1" fontId="20" fillId="0" borderId="9" xfId="0" applyNumberFormat="1" applyFont="1" applyBorder="1" applyAlignment="1">
      <alignment horizontal="center" textRotation="90"/>
    </xf>
    <xf numFmtId="166" fontId="20" fillId="0" borderId="10" xfId="0" applyNumberFormat="1" applyFont="1" applyBorder="1" applyAlignment="1">
      <alignment horizontal="center" textRotation="90"/>
    </xf>
    <xf numFmtId="1" fontId="20" fillId="0" borderId="10" xfId="0" applyNumberFormat="1" applyFont="1" applyBorder="1" applyAlignment="1">
      <alignment horizontal="center" textRotation="90"/>
    </xf>
    <xf numFmtId="164" fontId="20" fillId="0" borderId="10" xfId="0" applyNumberFormat="1" applyFont="1" applyBorder="1" applyAlignment="1">
      <alignment horizontal="center" textRotation="90"/>
    </xf>
    <xf numFmtId="165" fontId="20" fillId="0" borderId="10" xfId="0" applyNumberFormat="1" applyFont="1" applyBorder="1" applyAlignment="1">
      <alignment horizontal="center" textRotation="90"/>
    </xf>
    <xf numFmtId="164" fontId="9" fillId="0" borderId="0" xfId="0" applyNumberFormat="1" applyFont="1" applyBorder="1" applyAlignment="1">
      <alignment horizontal="center" wrapText="1"/>
    </xf>
    <xf numFmtId="1" fontId="6" fillId="0" borderId="5" xfId="0" applyNumberFormat="1" applyFont="1" applyFill="1" applyBorder="1" applyAlignment="1">
      <alignment horizontal="center"/>
    </xf>
    <xf numFmtId="166" fontId="6" fillId="0" borderId="0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166" fontId="9" fillId="0" borderId="0" xfId="0" applyNumberFormat="1" applyFont="1" applyFill="1" applyBorder="1" applyAlignment="1">
      <alignment horizontal="center"/>
    </xf>
    <xf numFmtId="164" fontId="9" fillId="0" borderId="6" xfId="0" applyNumberFormat="1" applyFont="1" applyFill="1" applyBorder="1" applyAlignment="1">
      <alignment horizontal="center"/>
    </xf>
    <xf numFmtId="164" fontId="9" fillId="0" borderId="0" xfId="0" applyNumberFormat="1" applyFont="1" applyBorder="1" applyAlignment="1">
      <alignment horizontal="center"/>
    </xf>
    <xf numFmtId="166" fontId="9" fillId="0" borderId="0" xfId="0" applyNumberFormat="1" applyFont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165" fontId="6" fillId="0" borderId="0" xfId="2" applyNumberFormat="1" applyFont="1" applyBorder="1" applyAlignment="1">
      <alignment horizontal="center"/>
    </xf>
    <xf numFmtId="164" fontId="9" fillId="0" borderId="0" xfId="2" applyNumberFormat="1" applyFont="1" applyBorder="1" applyAlignment="1">
      <alignment horizontal="center"/>
    </xf>
    <xf numFmtId="166" fontId="9" fillId="0" borderId="0" xfId="2" applyNumberFormat="1" applyFont="1" applyBorder="1" applyAlignment="1">
      <alignment horizontal="center"/>
    </xf>
    <xf numFmtId="1" fontId="9" fillId="0" borderId="0" xfId="2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6" fontId="6" fillId="0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left"/>
    </xf>
    <xf numFmtId="1" fontId="6" fillId="0" borderId="7" xfId="0" applyNumberFormat="1" applyFont="1" applyBorder="1" applyAlignment="1">
      <alignment horizontal="center"/>
    </xf>
    <xf numFmtId="165" fontId="9" fillId="0" borderId="0" xfId="0" applyNumberFormat="1" applyFont="1" applyBorder="1" applyAlignment="1">
      <alignment horizontal="center" wrapText="1"/>
    </xf>
    <xf numFmtId="164" fontId="20" fillId="0" borderId="9" xfId="0" applyNumberFormat="1" applyFont="1" applyBorder="1" applyAlignment="1">
      <alignment horizontal="center" textRotation="90"/>
    </xf>
    <xf numFmtId="164" fontId="6" fillId="0" borderId="5" xfId="2" applyNumberFormat="1" applyFont="1" applyBorder="1" applyAlignment="1">
      <alignment horizontal="center"/>
    </xf>
    <xf numFmtId="164" fontId="9" fillId="0" borderId="5" xfId="2" applyNumberFormat="1" applyFont="1" applyBorder="1" applyAlignment="1">
      <alignment horizontal="center"/>
    </xf>
    <xf numFmtId="164" fontId="6" fillId="0" borderId="5" xfId="0" applyNumberFormat="1" applyFont="1" applyFill="1" applyBorder="1" applyAlignment="1">
      <alignment horizontal="center"/>
    </xf>
    <xf numFmtId="164" fontId="9" fillId="0" borderId="5" xfId="0" applyNumberFormat="1" applyFont="1" applyFill="1" applyBorder="1" applyAlignment="1">
      <alignment horizontal="center"/>
    </xf>
    <xf numFmtId="1" fontId="6" fillId="0" borderId="6" xfId="0" applyNumberFormat="1" applyFont="1" applyBorder="1" applyAlignment="1">
      <alignment horizontal="center"/>
    </xf>
    <xf numFmtId="164" fontId="9" fillId="0" borderId="6" xfId="0" applyNumberFormat="1" applyFont="1" applyBorder="1" applyAlignment="1">
      <alignment horizontal="center"/>
    </xf>
    <xf numFmtId="1" fontId="6" fillId="0" borderId="7" xfId="0" applyNumberFormat="1" applyFont="1" applyFill="1" applyBorder="1" applyAlignment="1">
      <alignment horizontal="center"/>
    </xf>
    <xf numFmtId="1" fontId="12" fillId="0" borderId="5" xfId="0" applyNumberFormat="1" applyFont="1" applyBorder="1" applyAlignment="1">
      <alignment horizontal="center"/>
    </xf>
    <xf numFmtId="165" fontId="12" fillId="0" borderId="0" xfId="0" applyNumberFormat="1" applyFont="1" applyBorder="1" applyAlignment="1">
      <alignment horizontal="center"/>
    </xf>
    <xf numFmtId="1" fontId="12" fillId="0" borderId="6" xfId="0" applyNumberFormat="1" applyFont="1" applyBorder="1" applyAlignment="1">
      <alignment horizontal="center"/>
    </xf>
    <xf numFmtId="164" fontId="12" fillId="0" borderId="0" xfId="0" applyNumberFormat="1" applyFont="1" applyBorder="1" applyAlignment="1">
      <alignment horizontal="center"/>
    </xf>
    <xf numFmtId="166" fontId="12" fillId="0" borderId="0" xfId="0" applyNumberFormat="1" applyFont="1" applyBorder="1" applyAlignment="1">
      <alignment horizontal="center"/>
    </xf>
    <xf numFmtId="165" fontId="12" fillId="0" borderId="0" xfId="0" applyNumberFormat="1" applyFont="1" applyFill="1" applyBorder="1" applyAlignment="1">
      <alignment horizontal="center"/>
    </xf>
    <xf numFmtId="1" fontId="12" fillId="0" borderId="5" xfId="0" applyNumberFormat="1" applyFont="1" applyFill="1" applyBorder="1" applyAlignment="1">
      <alignment horizontal="center"/>
    </xf>
    <xf numFmtId="166" fontId="12" fillId="0" borderId="0" xfId="0" applyNumberFormat="1" applyFont="1" applyFill="1" applyBorder="1" applyAlignment="1">
      <alignment horizontal="center"/>
    </xf>
    <xf numFmtId="1" fontId="12" fillId="0" borderId="0" xfId="0" applyNumberFormat="1" applyFont="1" applyFill="1" applyBorder="1" applyAlignment="1">
      <alignment horizontal="center"/>
    </xf>
    <xf numFmtId="164" fontId="12" fillId="0" borderId="0" xfId="2" applyNumberFormat="1" applyFont="1" applyBorder="1" applyAlignment="1">
      <alignment horizontal="center"/>
    </xf>
    <xf numFmtId="1" fontId="12" fillId="0" borderId="0" xfId="2" applyNumberFormat="1" applyFont="1" applyBorder="1" applyAlignment="1">
      <alignment horizontal="center"/>
    </xf>
    <xf numFmtId="1" fontId="12" fillId="0" borderId="0" xfId="0" applyNumberFormat="1" applyFont="1" applyBorder="1" applyAlignment="1">
      <alignment horizontal="center"/>
    </xf>
    <xf numFmtId="164" fontId="12" fillId="0" borderId="5" xfId="2" applyNumberFormat="1" applyFont="1" applyBorder="1" applyAlignment="1">
      <alignment horizontal="center"/>
    </xf>
    <xf numFmtId="166" fontId="9" fillId="0" borderId="0" xfId="0" applyNumberFormat="1" applyFont="1" applyBorder="1" applyAlignment="1">
      <alignment horizontal="center" wrapText="1"/>
    </xf>
    <xf numFmtId="165" fontId="22" fillId="0" borderId="0" xfId="0" applyNumberFormat="1" applyFont="1" applyBorder="1" applyAlignment="1">
      <alignment horizontal="center"/>
    </xf>
    <xf numFmtId="165" fontId="7" fillId="0" borderId="1" xfId="0" applyNumberFormat="1" applyFont="1" applyFill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164" fontId="9" fillId="0" borderId="5" xfId="2" applyNumberFormat="1" applyFont="1" applyFill="1" applyBorder="1" applyAlignment="1">
      <alignment horizontal="center"/>
    </xf>
    <xf numFmtId="164" fontId="9" fillId="0" borderId="0" xfId="2" applyNumberFormat="1" applyFont="1" applyFill="1" applyBorder="1" applyAlignment="1">
      <alignment horizontal="center"/>
    </xf>
    <xf numFmtId="1" fontId="9" fillId="0" borderId="0" xfId="2" applyNumberFormat="1" applyFont="1" applyFill="1" applyBorder="1" applyAlignment="1">
      <alignment horizontal="center"/>
    </xf>
    <xf numFmtId="164" fontId="12" fillId="0" borderId="1" xfId="2" applyNumberFormat="1" applyFont="1" applyBorder="1" applyAlignment="1">
      <alignment horizontal="center"/>
    </xf>
    <xf numFmtId="1" fontId="12" fillId="0" borderId="1" xfId="2" applyNumberFormat="1" applyFont="1" applyBorder="1" applyAlignment="1">
      <alignment horizontal="center"/>
    </xf>
    <xf numFmtId="164" fontId="12" fillId="0" borderId="7" xfId="2" applyNumberFormat="1" applyFont="1" applyBorder="1" applyAlignment="1">
      <alignment horizontal="center"/>
    </xf>
    <xf numFmtId="166" fontId="12" fillId="0" borderId="1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left"/>
    </xf>
    <xf numFmtId="0" fontId="12" fillId="0" borderId="0" xfId="1" applyFont="1" applyBorder="1" applyAlignment="1">
      <alignment horizontal="center"/>
    </xf>
    <xf numFmtId="165" fontId="12" fillId="0" borderId="0" xfId="1" applyNumberFormat="1" applyFont="1" applyBorder="1" applyAlignment="1">
      <alignment horizontal="center"/>
    </xf>
    <xf numFmtId="0" fontId="12" fillId="0" borderId="0" xfId="0" applyFont="1" applyFill="1" applyAlignment="1">
      <alignment horizontal="center"/>
    </xf>
    <xf numFmtId="164" fontId="12" fillId="0" borderId="0" xfId="0" applyNumberFormat="1" applyFont="1" applyFill="1"/>
    <xf numFmtId="2" fontId="12" fillId="0" borderId="0" xfId="0" applyNumberFormat="1" applyFont="1"/>
    <xf numFmtId="0" fontId="12" fillId="0" borderId="0" xfId="0" applyFont="1"/>
    <xf numFmtId="0" fontId="12" fillId="0" borderId="0" xfId="0" applyFont="1" applyBorder="1" applyAlignment="1">
      <alignment horizontal="center"/>
    </xf>
    <xf numFmtId="164" fontId="12" fillId="0" borderId="0" xfId="0" applyNumberFormat="1" applyFont="1"/>
    <xf numFmtId="1" fontId="6" fillId="0" borderId="6" xfId="0" applyNumberFormat="1" applyFont="1" applyBorder="1" applyAlignment="1">
      <alignment horizontal="center" wrapText="1"/>
    </xf>
    <xf numFmtId="0" fontId="9" fillId="0" borderId="0" xfId="0" applyFont="1" applyBorder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7" fillId="0" borderId="1" xfId="0" applyFont="1" applyFill="1" applyBorder="1" applyAlignment="1">
      <alignment horizontal="center" wrapText="1"/>
    </xf>
    <xf numFmtId="165" fontId="12" fillId="0" borderId="0" xfId="0" applyNumberFormat="1" applyFont="1" applyFill="1" applyAlignment="1">
      <alignment horizontal="center"/>
    </xf>
    <xf numFmtId="166" fontId="12" fillId="0" borderId="0" xfId="2" applyNumberFormat="1" applyFont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164" fontId="9" fillId="0" borderId="5" xfId="0" applyNumberFormat="1" applyFont="1" applyBorder="1" applyAlignment="1">
      <alignment horizontal="center" wrapText="1"/>
    </xf>
    <xf numFmtId="164" fontId="9" fillId="0" borderId="5" xfId="0" applyNumberFormat="1" applyFont="1" applyBorder="1" applyAlignment="1">
      <alignment horizontal="center"/>
    </xf>
    <xf numFmtId="164" fontId="12" fillId="0" borderId="5" xfId="0" applyNumberFormat="1" applyFont="1" applyBorder="1" applyAlignment="1">
      <alignment horizontal="center"/>
    </xf>
    <xf numFmtId="164" fontId="6" fillId="0" borderId="7" xfId="0" applyNumberFormat="1" applyFont="1" applyBorder="1" applyAlignment="1">
      <alignment horizontal="center"/>
    </xf>
    <xf numFmtId="164" fontId="20" fillId="0" borderId="2" xfId="0" applyNumberFormat="1" applyFont="1" applyBorder="1" applyAlignment="1">
      <alignment horizontal="center" textRotation="90"/>
    </xf>
    <xf numFmtId="164" fontId="20" fillId="0" borderId="3" xfId="0" applyNumberFormat="1" applyFont="1" applyBorder="1" applyAlignment="1">
      <alignment horizontal="center" textRotation="90"/>
    </xf>
    <xf numFmtId="166" fontId="20" fillId="0" borderId="3" xfId="0" applyNumberFormat="1" applyFont="1" applyBorder="1" applyAlignment="1">
      <alignment horizontal="center" textRotation="90"/>
    </xf>
    <xf numFmtId="1" fontId="20" fillId="0" borderId="3" xfId="0" applyNumberFormat="1" applyFont="1" applyBorder="1" applyAlignment="1">
      <alignment horizontal="center" textRotation="90"/>
    </xf>
    <xf numFmtId="0" fontId="9" fillId="0" borderId="0" xfId="0" applyFont="1" applyFill="1" applyBorder="1" applyAlignment="1">
      <alignment horizontal="center"/>
    </xf>
    <xf numFmtId="165" fontId="10" fillId="0" borderId="0" xfId="0" applyNumberFormat="1" applyFont="1" applyFill="1" applyBorder="1" applyAlignment="1">
      <alignment horizontal="center"/>
    </xf>
    <xf numFmtId="1" fontId="10" fillId="0" borderId="5" xfId="0" applyNumberFormat="1" applyFont="1" applyFill="1" applyBorder="1" applyAlignment="1">
      <alignment horizontal="center"/>
    </xf>
    <xf numFmtId="165" fontId="25" fillId="0" borderId="0" xfId="0" applyNumberFormat="1" applyFont="1" applyBorder="1" applyAlignment="1">
      <alignment horizontal="center"/>
    </xf>
    <xf numFmtId="166" fontId="21" fillId="0" borderId="0" xfId="0" applyNumberFormat="1" applyFont="1" applyBorder="1" applyAlignment="1">
      <alignment horizontal="center"/>
    </xf>
    <xf numFmtId="165" fontId="9" fillId="0" borderId="0" xfId="2" applyNumberFormat="1" applyFont="1" applyBorder="1" applyAlignment="1">
      <alignment horizontal="center"/>
    </xf>
    <xf numFmtId="1" fontId="20" fillId="0" borderId="2" xfId="0" applyNumberFormat="1" applyFont="1" applyBorder="1" applyAlignment="1">
      <alignment horizontal="center" textRotation="90"/>
    </xf>
    <xf numFmtId="1" fontId="20" fillId="0" borderId="4" xfId="0" applyNumberFormat="1" applyFont="1" applyBorder="1" applyAlignment="1">
      <alignment horizontal="center" textRotation="90"/>
    </xf>
    <xf numFmtId="1" fontId="6" fillId="0" borderId="8" xfId="0" applyNumberFormat="1" applyFont="1" applyBorder="1" applyAlignment="1">
      <alignment horizontal="center"/>
    </xf>
    <xf numFmtId="1" fontId="20" fillId="0" borderId="11" xfId="0" applyNumberFormat="1" applyFont="1" applyBorder="1" applyAlignment="1">
      <alignment horizontal="center" textRotation="90"/>
    </xf>
    <xf numFmtId="1" fontId="6" fillId="0" borderId="6" xfId="0" applyNumberFormat="1" applyFont="1" applyFill="1" applyBorder="1" applyAlignment="1">
      <alignment horizontal="center"/>
    </xf>
    <xf numFmtId="1" fontId="9" fillId="0" borderId="6" xfId="0" applyNumberFormat="1" applyFont="1" applyFill="1" applyBorder="1" applyAlignment="1">
      <alignment horizontal="center"/>
    </xf>
    <xf numFmtId="1" fontId="9" fillId="0" borderId="6" xfId="2" applyNumberFormat="1" applyFont="1" applyBorder="1" applyAlignment="1">
      <alignment horizontal="center"/>
    </xf>
    <xf numFmtId="1" fontId="12" fillId="0" borderId="6" xfId="2" applyNumberFormat="1" applyFont="1" applyBorder="1" applyAlignment="1">
      <alignment horizontal="center"/>
    </xf>
    <xf numFmtId="1" fontId="6" fillId="0" borderId="6" xfId="2" applyNumberFormat="1" applyFont="1" applyBorder="1" applyAlignment="1">
      <alignment horizontal="center"/>
    </xf>
    <xf numFmtId="1" fontId="9" fillId="0" borderId="6" xfId="2" applyNumberFormat="1" applyFont="1" applyFill="1" applyBorder="1" applyAlignment="1">
      <alignment horizontal="center"/>
    </xf>
    <xf numFmtId="1" fontId="12" fillId="0" borderId="8" xfId="2" applyNumberFormat="1" applyFont="1" applyBorder="1" applyAlignment="1">
      <alignment horizontal="center"/>
    </xf>
    <xf numFmtId="166" fontId="6" fillId="0" borderId="0" xfId="1" applyNumberFormat="1" applyFont="1" applyFill="1" applyBorder="1" applyAlignment="1">
      <alignment horizontal="center"/>
    </xf>
    <xf numFmtId="166" fontId="9" fillId="0" borderId="0" xfId="2" applyNumberFormat="1" applyFont="1" applyFill="1" applyBorder="1" applyAlignment="1">
      <alignment horizontal="center"/>
    </xf>
    <xf numFmtId="166" fontId="12" fillId="0" borderId="1" xfId="2" applyNumberFormat="1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165" fontId="6" fillId="0" borderId="0" xfId="0" applyNumberFormat="1" applyFont="1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166" fontId="9" fillId="0" borderId="6" xfId="2" applyNumberFormat="1" applyFont="1" applyBorder="1" applyAlignment="1">
      <alignment horizontal="center"/>
    </xf>
    <xf numFmtId="166" fontId="12" fillId="0" borderId="0" xfId="1" applyNumberFormat="1" applyFont="1" applyBorder="1" applyAlignment="1">
      <alignment horizontal="center"/>
    </xf>
    <xf numFmtId="0" fontId="6" fillId="0" borderId="0" xfId="1" applyFont="1" applyAlignment="1">
      <alignment horizontal="left"/>
    </xf>
    <xf numFmtId="0" fontId="6" fillId="0" borderId="0" xfId="1" applyFont="1" applyAlignment="1"/>
    <xf numFmtId="0" fontId="6" fillId="0" borderId="0" xfId="1" applyFont="1" applyFill="1" applyAlignment="1">
      <alignment horizontal="left"/>
    </xf>
    <xf numFmtId="0" fontId="24" fillId="0" borderId="0" xfId="1" applyFont="1" applyAlignment="1"/>
    <xf numFmtId="164" fontId="7" fillId="0" borderId="1" xfId="0" applyNumberFormat="1" applyFont="1" applyFill="1" applyBorder="1" applyAlignment="1">
      <alignment horizontal="center" wrapText="1"/>
    </xf>
    <xf numFmtId="164" fontId="12" fillId="0" borderId="0" xfId="0" applyNumberFormat="1" applyFont="1" applyAlignment="1">
      <alignment horizontal="center"/>
    </xf>
    <xf numFmtId="2" fontId="12" fillId="0" borderId="0" xfId="0" applyNumberFormat="1" applyFont="1" applyAlignment="1">
      <alignment horizontal="center"/>
    </xf>
    <xf numFmtId="2" fontId="9" fillId="0" borderId="0" xfId="0" applyNumberFormat="1" applyFont="1" applyFill="1" applyBorder="1" applyAlignment="1">
      <alignment horizontal="center"/>
    </xf>
    <xf numFmtId="2" fontId="10" fillId="0" borderId="0" xfId="0" applyNumberFormat="1" applyFont="1" applyFill="1" applyBorder="1" applyAlignment="1">
      <alignment horizontal="center"/>
    </xf>
    <xf numFmtId="2" fontId="12" fillId="0" borderId="0" xfId="0" applyNumberFormat="1" applyFont="1" applyFill="1" applyBorder="1" applyAlignment="1">
      <alignment horizontal="center"/>
    </xf>
    <xf numFmtId="0" fontId="6" fillId="0" borderId="0" xfId="0" applyFont="1" applyFill="1"/>
    <xf numFmtId="164" fontId="6" fillId="0" borderId="0" xfId="1" applyNumberFormat="1" applyFont="1" applyFill="1" applyAlignment="1">
      <alignment horizontal="center"/>
    </xf>
    <xf numFmtId="167" fontId="6" fillId="0" borderId="0" xfId="0" applyNumberFormat="1" applyFont="1" applyFill="1" applyAlignment="1">
      <alignment horizontal="center"/>
    </xf>
    <xf numFmtId="164" fontId="6" fillId="0" borderId="0" xfId="0" applyNumberFormat="1" applyFont="1" applyFill="1" applyAlignment="1">
      <alignment horizontal="center"/>
    </xf>
    <xf numFmtId="0" fontId="6" fillId="0" borderId="0" xfId="1" applyFont="1" applyFill="1" applyAlignment="1"/>
    <xf numFmtId="164" fontId="6" fillId="0" borderId="0" xfId="1" applyNumberFormat="1" applyFont="1" applyFill="1" applyAlignment="1"/>
    <xf numFmtId="2" fontId="6" fillId="0" borderId="0" xfId="1" applyNumberFormat="1" applyFont="1" applyFill="1" applyAlignment="1"/>
    <xf numFmtId="2" fontId="12" fillId="0" borderId="0" xfId="1" applyNumberFormat="1" applyFont="1" applyBorder="1" applyAlignment="1">
      <alignment horizontal="center"/>
    </xf>
    <xf numFmtId="164" fontId="12" fillId="0" borderId="0" xfId="0" applyNumberFormat="1" applyFont="1" applyFill="1" applyAlignment="1">
      <alignment horizontal="center"/>
    </xf>
    <xf numFmtId="167" fontId="9" fillId="0" borderId="0" xfId="0" applyNumberFormat="1" applyFont="1" applyFill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166" fontId="9" fillId="0" borderId="0" xfId="1" applyNumberFormat="1" applyFont="1" applyBorder="1" applyAlignment="1">
      <alignment horizontal="center"/>
    </xf>
    <xf numFmtId="168" fontId="26" fillId="0" borderId="0" xfId="0" applyNumberFormat="1" applyFont="1" applyAlignment="1">
      <alignment horizontal="left"/>
    </xf>
    <xf numFmtId="167" fontId="6" fillId="0" borderId="0" xfId="1" applyNumberFormat="1" applyFont="1" applyBorder="1" applyAlignment="1">
      <alignment horizontal="center"/>
    </xf>
    <xf numFmtId="165" fontId="7" fillId="0" borderId="2" xfId="1" applyNumberFormat="1" applyFont="1" applyBorder="1" applyAlignment="1">
      <alignment horizontal="center"/>
    </xf>
    <xf numFmtId="165" fontId="7" fillId="0" borderId="3" xfId="1" applyNumberFormat="1" applyFont="1" applyBorder="1" applyAlignment="1">
      <alignment horizontal="center"/>
    </xf>
    <xf numFmtId="0" fontId="6" fillId="0" borderId="3" xfId="0" applyFont="1" applyBorder="1" applyAlignment="1"/>
    <xf numFmtId="0" fontId="6" fillId="0" borderId="4" xfId="0" applyFont="1" applyBorder="1" applyAlignment="1"/>
    <xf numFmtId="0" fontId="19" fillId="0" borderId="3" xfId="0" applyFont="1" applyBorder="1" applyAlignment="1"/>
    <xf numFmtId="0" fontId="19" fillId="0" borderId="4" xfId="0" applyFont="1" applyBorder="1" applyAlignment="1"/>
  </cellXfs>
  <cellStyles count="10">
    <cellStyle name="Normal" xfId="0" builtinId="0"/>
    <cellStyle name="Normal 2" xfId="2" xr:uid="{00000000-0005-0000-0000-000001000000}"/>
    <cellStyle name="Normal 3" xfId="3" xr:uid="{00000000-0005-0000-0000-000002000000}"/>
    <cellStyle name="Normal 4" xfId="4" xr:uid="{00000000-0005-0000-0000-000003000000}"/>
    <cellStyle name="Normal 4 2" xfId="9" xr:uid="{00000000-0005-0000-0000-000004000000}"/>
    <cellStyle name="Normal 4 3" xfId="8" xr:uid="{00000000-0005-0000-0000-000005000000}"/>
    <cellStyle name="Normal 5" xfId="6" xr:uid="{00000000-0005-0000-0000-000006000000}"/>
    <cellStyle name="Normal 6" xfId="7" xr:uid="{00000000-0005-0000-0000-000007000000}"/>
    <cellStyle name="Normal_BLAD" xfId="1" xr:uid="{00000000-0005-0000-0000-000008000000}"/>
    <cellStyle name="Standard 2 2" xfId="5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38100</xdr:rowOff>
    </xdr:from>
    <xdr:to>
      <xdr:col>1</xdr:col>
      <xdr:colOff>692944</xdr:colOff>
      <xdr:row>2</xdr:row>
      <xdr:rowOff>12700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100"/>
          <a:ext cx="654844" cy="279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915034</xdr:colOff>
      <xdr:row>0</xdr:row>
      <xdr:rowOff>39370</xdr:rowOff>
    </xdr:from>
    <xdr:to>
      <xdr:col>2</xdr:col>
      <xdr:colOff>57784</xdr:colOff>
      <xdr:row>2</xdr:row>
      <xdr:rowOff>67310</xdr:rowOff>
    </xdr:to>
    <xdr:pic>
      <xdr:nvPicPr>
        <xdr:cNvPr id="4" name="Bildobjek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354" y="39370"/>
          <a:ext cx="1047750" cy="332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908685</xdr:colOff>
      <xdr:row>0</xdr:row>
      <xdr:rowOff>27940</xdr:rowOff>
    </xdr:from>
    <xdr:to>
      <xdr:col>2</xdr:col>
      <xdr:colOff>0</xdr:colOff>
      <xdr:row>2</xdr:row>
      <xdr:rowOff>90805</xdr:rowOff>
    </xdr:to>
    <xdr:pic>
      <xdr:nvPicPr>
        <xdr:cNvPr id="4" name="Bildobjek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27940"/>
          <a:ext cx="1047750" cy="3371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0</xdr:row>
      <xdr:rowOff>25400</xdr:rowOff>
    </xdr:from>
    <xdr:to>
      <xdr:col>1</xdr:col>
      <xdr:colOff>692944</xdr:colOff>
      <xdr:row>2</xdr:row>
      <xdr:rowOff>45720</xdr:rowOff>
    </xdr:to>
    <xdr:pic>
      <xdr:nvPicPr>
        <xdr:cNvPr id="5" name="Picture 16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750" y="25400"/>
          <a:ext cx="654844" cy="279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825500</xdr:colOff>
      <xdr:row>0</xdr:row>
      <xdr:rowOff>0</xdr:rowOff>
    </xdr:from>
    <xdr:to>
      <xdr:col>2</xdr:col>
      <xdr:colOff>7779</xdr:colOff>
      <xdr:row>2</xdr:row>
      <xdr:rowOff>59055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5100" y="0"/>
          <a:ext cx="1131094" cy="3448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0</xdr:row>
      <xdr:rowOff>25400</xdr:rowOff>
    </xdr:from>
    <xdr:to>
      <xdr:col>1</xdr:col>
      <xdr:colOff>692944</xdr:colOff>
      <xdr:row>2</xdr:row>
      <xdr:rowOff>7620</xdr:rowOff>
    </xdr:to>
    <xdr:pic>
      <xdr:nvPicPr>
        <xdr:cNvPr id="4" name="Picture 16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750" y="25400"/>
          <a:ext cx="654844" cy="279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111125</xdr:colOff>
      <xdr:row>0</xdr:row>
      <xdr:rowOff>44450</xdr:rowOff>
    </xdr:from>
    <xdr:to>
      <xdr:col>1</xdr:col>
      <xdr:colOff>825500</xdr:colOff>
      <xdr:row>2</xdr:row>
      <xdr:rowOff>44450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44450"/>
          <a:ext cx="7143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101600</xdr:colOff>
      <xdr:row>2</xdr:row>
      <xdr:rowOff>101600</xdr:rowOff>
    </xdr:from>
    <xdr:to>
      <xdr:col>1</xdr:col>
      <xdr:colOff>1149350</xdr:colOff>
      <xdr:row>4</xdr:row>
      <xdr:rowOff>127000</xdr:rowOff>
    </xdr:to>
    <xdr:pic>
      <xdr:nvPicPr>
        <xdr:cNvPr id="4" name="Bildobjek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550" y="406400"/>
          <a:ext cx="104775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111125</xdr:colOff>
      <xdr:row>62</xdr:row>
      <xdr:rowOff>44450</xdr:rowOff>
    </xdr:from>
    <xdr:ext cx="714375" cy="304800"/>
    <xdr:pic>
      <xdr:nvPicPr>
        <xdr:cNvPr id="5" name="Picture 16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065" y="44450"/>
          <a:ext cx="7143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101600</xdr:colOff>
      <xdr:row>64</xdr:row>
      <xdr:rowOff>101600</xdr:rowOff>
    </xdr:from>
    <xdr:ext cx="1047750" cy="330200"/>
    <xdr:pic>
      <xdr:nvPicPr>
        <xdr:cNvPr id="6" name="Bildobjek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540" y="406400"/>
          <a:ext cx="104775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31750</xdr:rowOff>
    </xdr:from>
    <xdr:to>
      <xdr:col>1</xdr:col>
      <xdr:colOff>740570</xdr:colOff>
      <xdr:row>1</xdr:row>
      <xdr:rowOff>128270</xdr:rowOff>
    </xdr:to>
    <xdr:pic>
      <xdr:nvPicPr>
        <xdr:cNvPr id="2" name="Picture 16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666" y="31750"/>
          <a:ext cx="654844" cy="279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101600</xdr:colOff>
      <xdr:row>2</xdr:row>
      <xdr:rowOff>101600</xdr:rowOff>
    </xdr:from>
    <xdr:to>
      <xdr:col>1</xdr:col>
      <xdr:colOff>1149350</xdr:colOff>
      <xdr:row>4</xdr:row>
      <xdr:rowOff>71120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540" y="406400"/>
          <a:ext cx="1047750" cy="33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8"/>
  <dimension ref="A1:Y93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C9" sqref="C9"/>
    </sheetView>
  </sheetViews>
  <sheetFormatPr defaultColWidth="9.140625" defaultRowHeight="12" x14ac:dyDescent="0.2"/>
  <cols>
    <col min="1" max="1" width="9.5703125" style="19" bestFit="1" customWidth="1"/>
    <col min="2" max="2" width="27.7109375" style="11" customWidth="1"/>
    <col min="3" max="4" width="8.7109375" style="5" customWidth="1"/>
    <col min="5" max="5" width="7.42578125" style="5" bestFit="1" customWidth="1"/>
    <col min="6" max="6" width="8.42578125" style="5" customWidth="1"/>
    <col min="7" max="8" width="5.140625" style="5" bestFit="1" customWidth="1"/>
    <col min="9" max="9" width="5.7109375" style="5" bestFit="1" customWidth="1"/>
    <col min="10" max="10" width="7.28515625" style="5" bestFit="1" customWidth="1"/>
    <col min="11" max="11" width="5.7109375" style="41" bestFit="1" customWidth="1"/>
    <col min="12" max="12" width="9" style="16" bestFit="1" customWidth="1"/>
    <col min="13" max="13" width="9.7109375" style="29" customWidth="1"/>
    <col min="14" max="14" width="9.7109375" style="34" customWidth="1"/>
    <col min="15" max="15" width="9.28515625" style="30" customWidth="1"/>
    <col min="16" max="16" width="7.28515625" style="16" customWidth="1"/>
    <col min="17" max="17" width="7.5703125" style="12" bestFit="1" customWidth="1"/>
    <col min="18" max="18" width="9.140625" style="209"/>
    <col min="19" max="20" width="9" style="209" bestFit="1" customWidth="1"/>
    <col min="21" max="21" width="9.7109375" style="209" bestFit="1" customWidth="1"/>
    <col min="22" max="22" width="9.7109375" style="209" customWidth="1"/>
    <col min="23" max="23" width="10.140625" style="36" customWidth="1"/>
    <col min="24" max="24" width="9.28515625" style="36" bestFit="1" customWidth="1"/>
    <col min="25" max="25" width="9.28515625" style="16" bestFit="1" customWidth="1"/>
    <col min="26" max="26" width="10.28515625" style="16" customWidth="1"/>
    <col min="27" max="16384" width="9.140625" style="16"/>
  </cols>
  <sheetData>
    <row r="1" spans="1:25" x14ac:dyDescent="0.2">
      <c r="A1" s="2"/>
      <c r="B1" s="27"/>
      <c r="C1" s="1"/>
      <c r="D1" s="1"/>
      <c r="E1" s="1"/>
      <c r="F1" s="1"/>
      <c r="G1" s="1"/>
      <c r="H1" s="1"/>
      <c r="I1" s="1"/>
      <c r="J1" s="1"/>
    </row>
    <row r="2" spans="1:25" x14ac:dyDescent="0.2">
      <c r="A2" s="2"/>
      <c r="B2" s="27"/>
      <c r="C2" s="1"/>
      <c r="D2" s="1"/>
      <c r="E2" s="1"/>
      <c r="F2" s="1"/>
      <c r="G2" s="1"/>
      <c r="H2" s="1"/>
      <c r="I2" s="1"/>
      <c r="J2" s="1"/>
    </row>
    <row r="3" spans="1:25" ht="12.75" customHeight="1" x14ac:dyDescent="0.2">
      <c r="A3" s="2"/>
      <c r="B3" s="27"/>
      <c r="C3" s="4" t="s">
        <v>2</v>
      </c>
      <c r="E3" s="31">
        <v>2021</v>
      </c>
      <c r="F3" s="39" t="s">
        <v>278</v>
      </c>
      <c r="I3" s="6"/>
      <c r="J3" s="1"/>
      <c r="N3" s="36"/>
    </row>
    <row r="4" spans="1:25" ht="12.75" customHeight="1" x14ac:dyDescent="0.2">
      <c r="A4" s="2"/>
      <c r="B4" s="27"/>
      <c r="C4" s="150" t="s">
        <v>3</v>
      </c>
      <c r="D4" s="151"/>
      <c r="E4" s="151"/>
      <c r="F4" s="151"/>
      <c r="G4" s="151"/>
      <c r="H4" s="151"/>
      <c r="I4" s="151"/>
      <c r="J4" s="152"/>
      <c r="K4" s="153"/>
      <c r="L4" s="216"/>
      <c r="M4" s="163"/>
      <c r="N4" s="205"/>
      <c r="O4" s="158"/>
      <c r="P4" s="158"/>
    </row>
    <row r="5" spans="1:25" ht="12.75" customHeight="1" x14ac:dyDescent="0.2">
      <c r="A5" s="2"/>
      <c r="B5" s="27"/>
      <c r="C5" s="150"/>
      <c r="D5" s="151"/>
      <c r="E5" s="150"/>
      <c r="F5" s="150"/>
      <c r="G5" s="150"/>
      <c r="H5" s="151"/>
      <c r="I5" s="151"/>
      <c r="J5" s="152"/>
      <c r="K5" s="153"/>
      <c r="L5" s="216"/>
      <c r="M5" s="217"/>
      <c r="N5" s="205"/>
      <c r="O5" s="158"/>
      <c r="P5" s="158"/>
    </row>
    <row r="6" spans="1:25" x14ac:dyDescent="0.2">
      <c r="A6" s="4"/>
      <c r="B6" s="16"/>
      <c r="C6" s="157"/>
      <c r="D6" s="151"/>
      <c r="E6" s="222"/>
      <c r="F6" s="222"/>
      <c r="G6" s="3"/>
      <c r="H6" s="152"/>
      <c r="I6" s="152"/>
      <c r="J6" s="151"/>
      <c r="K6" s="153"/>
      <c r="L6" s="156"/>
      <c r="M6" s="154"/>
      <c r="N6" s="205"/>
      <c r="O6" s="155"/>
      <c r="P6" s="156"/>
    </row>
    <row r="7" spans="1:25" ht="12" customHeight="1" x14ac:dyDescent="0.2">
      <c r="A7" s="4"/>
      <c r="B7" s="7">
        <f ca="1">NOW()</f>
        <v>44284.697198379632</v>
      </c>
      <c r="C7" s="129"/>
      <c r="D7" s="151"/>
      <c r="E7" s="150"/>
      <c r="F7" s="150"/>
      <c r="G7" s="142"/>
      <c r="H7" s="198"/>
      <c r="I7" s="151"/>
      <c r="J7" s="151"/>
      <c r="K7" s="153"/>
      <c r="L7" s="156"/>
      <c r="M7" s="154"/>
      <c r="N7" s="205"/>
      <c r="O7" s="155"/>
      <c r="P7" s="156"/>
    </row>
    <row r="8" spans="1:25" ht="84.75" thickBot="1" x14ac:dyDescent="0.25">
      <c r="A8" s="8" t="s">
        <v>0</v>
      </c>
      <c r="B8" s="8" t="s">
        <v>1</v>
      </c>
      <c r="C8" s="8" t="s">
        <v>42</v>
      </c>
      <c r="D8" s="8" t="s">
        <v>43</v>
      </c>
      <c r="E8" s="141" t="s">
        <v>42</v>
      </c>
      <c r="F8" s="141" t="s">
        <v>43</v>
      </c>
      <c r="G8" s="9" t="s">
        <v>412</v>
      </c>
      <c r="H8" s="9" t="s">
        <v>415</v>
      </c>
      <c r="I8" s="9" t="s">
        <v>411</v>
      </c>
      <c r="J8" s="9" t="s">
        <v>413</v>
      </c>
      <c r="K8" s="9" t="s">
        <v>410</v>
      </c>
      <c r="L8" s="140" t="s">
        <v>388</v>
      </c>
      <c r="M8" s="162" t="s">
        <v>414</v>
      </c>
      <c r="N8" s="203" t="s">
        <v>105</v>
      </c>
      <c r="O8" s="203" t="s">
        <v>366</v>
      </c>
      <c r="P8" s="162" t="s">
        <v>118</v>
      </c>
      <c r="Q8" s="9" t="s">
        <v>387</v>
      </c>
      <c r="R8" s="141" t="s">
        <v>370</v>
      </c>
      <c r="T8" s="203" t="s">
        <v>406</v>
      </c>
      <c r="U8" s="203" t="s">
        <v>407</v>
      </c>
      <c r="V8" s="203" t="s">
        <v>404</v>
      </c>
      <c r="W8" s="203" t="s">
        <v>418</v>
      </c>
      <c r="X8" s="203" t="s">
        <v>405</v>
      </c>
      <c r="Y8" s="203" t="s">
        <v>408</v>
      </c>
    </row>
    <row r="9" spans="1:25" ht="12" customHeight="1" x14ac:dyDescent="0.2">
      <c r="A9" s="3" t="s">
        <v>210</v>
      </c>
      <c r="B9" s="3" t="s">
        <v>376</v>
      </c>
      <c r="C9" s="3" t="s">
        <v>90</v>
      </c>
      <c r="D9" s="3" t="s">
        <v>91</v>
      </c>
      <c r="E9" s="223">
        <f>65+46/60+18/3600</f>
        <v>65.771666666666661</v>
      </c>
      <c r="F9" s="223">
        <f>23+54/60+11/3600</f>
        <v>23.903055555555554</v>
      </c>
      <c r="G9" s="47"/>
      <c r="H9" s="47"/>
      <c r="I9" s="48">
        <v>213.4</v>
      </c>
      <c r="J9" s="47"/>
      <c r="K9" s="48">
        <v>0</v>
      </c>
      <c r="L9" s="44">
        <f>ROUND(1.02*L11,1)</f>
        <v>21</v>
      </c>
      <c r="M9" s="206">
        <f>ROUND(M11*$O$9/$O$11,2)+0.01</f>
        <v>0.72</v>
      </c>
      <c r="N9" s="212">
        <f>ROUND(T9,3)</f>
        <v>0.93600000000000005</v>
      </c>
      <c r="O9" s="212">
        <f>ROUND(U9,3)</f>
        <v>0.871</v>
      </c>
      <c r="P9" s="46">
        <f>ROUND(O9-M9,2)</f>
        <v>0.15</v>
      </c>
      <c r="Q9" s="32" t="s">
        <v>323</v>
      </c>
      <c r="R9" s="12">
        <v>4</v>
      </c>
      <c r="S9" s="213"/>
      <c r="T9" s="211">
        <v>0.93551893256849705</v>
      </c>
      <c r="U9" s="211">
        <v>0.8714680636901101</v>
      </c>
      <c r="V9" s="210">
        <v>0.93300000000000005</v>
      </c>
      <c r="W9" s="210">
        <v>0.86899999999999999</v>
      </c>
      <c r="X9" s="204">
        <v>0.93598700000000012</v>
      </c>
      <c r="Y9" s="204">
        <v>0.87214799999999992</v>
      </c>
    </row>
    <row r="10" spans="1:25" ht="12" customHeight="1" x14ac:dyDescent="0.2">
      <c r="A10" s="3" t="s">
        <v>134</v>
      </c>
      <c r="B10" s="3" t="s">
        <v>135</v>
      </c>
      <c r="C10" s="3" t="s">
        <v>132</v>
      </c>
      <c r="D10" s="3" t="s">
        <v>133</v>
      </c>
      <c r="E10" s="223">
        <f>65+47/60+20/3600</f>
        <v>65.788888888888891</v>
      </c>
      <c r="F10" s="223">
        <f>23+18/60+12/3600</f>
        <v>23.303333333333335</v>
      </c>
      <c r="G10" s="45"/>
      <c r="H10" s="45"/>
      <c r="I10" s="43">
        <f>-L10</f>
        <v>-21.2</v>
      </c>
      <c r="J10" s="35"/>
      <c r="K10" s="35">
        <v>0</v>
      </c>
      <c r="L10" s="44">
        <f>ROUND(1.03*L11,1)</f>
        <v>21.2</v>
      </c>
      <c r="M10" s="206">
        <f>ROUND(M11*$O$10/$O$11,2)</f>
        <v>0.72</v>
      </c>
      <c r="N10" s="212">
        <f t="shared" ref="N10:N74" si="0">ROUND(T10,3)</f>
        <v>0.94499999999999995</v>
      </c>
      <c r="O10" s="212">
        <f t="shared" ref="O10:O74" si="1">ROUND(U10,3)</f>
        <v>0.88100000000000001</v>
      </c>
      <c r="P10" s="46"/>
      <c r="Q10" s="32" t="s">
        <v>425</v>
      </c>
      <c r="R10" s="12">
        <v>2</v>
      </c>
      <c r="S10" s="213"/>
      <c r="T10" s="211">
        <v>0.94530855377202316</v>
      </c>
      <c r="U10" s="211">
        <v>0.88083270352468002</v>
      </c>
      <c r="V10" s="210">
        <v>0.94399999999999995</v>
      </c>
      <c r="W10" s="210">
        <v>0.879</v>
      </c>
      <c r="X10" s="106"/>
      <c r="Y10" s="106"/>
    </row>
    <row r="11" spans="1:25" ht="12" customHeight="1" x14ac:dyDescent="0.2">
      <c r="A11" s="3" t="s">
        <v>209</v>
      </c>
      <c r="B11" s="3" t="s">
        <v>409</v>
      </c>
      <c r="C11" s="3" t="s">
        <v>40</v>
      </c>
      <c r="D11" s="3" t="s">
        <v>41</v>
      </c>
      <c r="E11" s="223">
        <f>65+41/60+49/3600</f>
        <v>65.696944444444455</v>
      </c>
      <c r="F11" s="223">
        <f>23+5/60+46/3600</f>
        <v>23.09611111111111</v>
      </c>
      <c r="G11" s="35">
        <v>850</v>
      </c>
      <c r="H11" s="35">
        <v>769.7</v>
      </c>
      <c r="I11" s="35">
        <v>747.2</v>
      </c>
      <c r="J11" s="35">
        <v>748.2</v>
      </c>
      <c r="K11" s="35">
        <v>78</v>
      </c>
      <c r="L11" s="35">
        <v>20.6</v>
      </c>
      <c r="M11" s="46">
        <v>0.73</v>
      </c>
      <c r="N11" s="212">
        <f t="shared" si="0"/>
        <v>0.95499999999999996</v>
      </c>
      <c r="O11" s="212">
        <f t="shared" si="1"/>
        <v>0.89100000000000001</v>
      </c>
      <c r="P11" s="46">
        <f>ROUND(O11-M11,2)</f>
        <v>0.16</v>
      </c>
      <c r="Q11" s="12" t="s">
        <v>8</v>
      </c>
      <c r="R11" s="12">
        <v>1</v>
      </c>
      <c r="S11" s="213"/>
      <c r="T11" s="211">
        <v>0.95511957251304613</v>
      </c>
      <c r="U11" s="211">
        <v>0.89050511555110501</v>
      </c>
      <c r="V11" s="210">
        <v>0.95299999999999996</v>
      </c>
      <c r="W11" s="210">
        <v>0.88800000000000001</v>
      </c>
      <c r="X11" s="204">
        <v>0.95517000000000007</v>
      </c>
      <c r="Y11" s="204">
        <v>0.89031199999999999</v>
      </c>
    </row>
    <row r="12" spans="1:25" ht="12" customHeight="1" x14ac:dyDescent="0.2">
      <c r="A12" s="3" t="s">
        <v>136</v>
      </c>
      <c r="B12" s="3" t="s">
        <v>137</v>
      </c>
      <c r="C12" s="3" t="s">
        <v>138</v>
      </c>
      <c r="D12" s="3" t="s">
        <v>139</v>
      </c>
      <c r="E12" s="223">
        <f>65+32/60+59/3600</f>
        <v>65.549722222222215</v>
      </c>
      <c r="F12" s="223">
        <f>22+14/60+18/3600</f>
        <v>22.238333333333333</v>
      </c>
      <c r="G12" s="45"/>
      <c r="H12" s="45"/>
      <c r="I12" s="43">
        <f>-L12</f>
        <v>-20.100000000000001</v>
      </c>
      <c r="J12" s="46"/>
      <c r="K12" s="35">
        <v>0</v>
      </c>
      <c r="L12" s="44">
        <f>ROUND(0.812*L11+0.188*L13,1)</f>
        <v>20.100000000000001</v>
      </c>
      <c r="M12" s="206">
        <f>ROUND((0.812*M11+0.188*M13)*$O$12/(0.812*$O$11+0.188*$O$13),2)-0.01</f>
        <v>0.75</v>
      </c>
      <c r="N12" s="212">
        <f t="shared" si="0"/>
        <v>0.97699999999999998</v>
      </c>
      <c r="O12" s="212">
        <f t="shared" si="1"/>
        <v>0.91200000000000003</v>
      </c>
      <c r="P12" s="46"/>
      <c r="Q12" s="12" t="s">
        <v>426</v>
      </c>
      <c r="R12" s="12">
        <v>2</v>
      </c>
      <c r="S12" s="213"/>
      <c r="T12" s="211">
        <v>0.97741559415071699</v>
      </c>
      <c r="U12" s="211">
        <v>0.91238573787861998</v>
      </c>
      <c r="V12" s="210">
        <v>0.97599999999999998</v>
      </c>
      <c r="W12" s="210">
        <v>0.91100000000000003</v>
      </c>
      <c r="X12" s="204">
        <v>0.97727400000000009</v>
      </c>
      <c r="Y12" s="204">
        <v>0.91202099999999997</v>
      </c>
    </row>
    <row r="13" spans="1:25" ht="12" customHeight="1" x14ac:dyDescent="0.2">
      <c r="A13" s="3" t="s">
        <v>211</v>
      </c>
      <c r="B13" s="3" t="s">
        <v>142</v>
      </c>
      <c r="C13" s="3" t="s">
        <v>45</v>
      </c>
      <c r="D13" s="3" t="s">
        <v>44</v>
      </c>
      <c r="E13" s="223">
        <f>64+54/60+57/3600</f>
        <v>64.915833333333339</v>
      </c>
      <c r="F13" s="223">
        <f>21+13/60+50/3600</f>
        <v>21.230555555555554</v>
      </c>
      <c r="G13" s="35">
        <v>858.1</v>
      </c>
      <c r="H13" s="35">
        <v>780.9</v>
      </c>
      <c r="I13" s="35">
        <v>755.6</v>
      </c>
      <c r="J13" s="35">
        <v>756.5</v>
      </c>
      <c r="K13" s="35">
        <v>543.29999999999995</v>
      </c>
      <c r="L13" s="35">
        <v>17.7</v>
      </c>
      <c r="M13" s="46">
        <v>0.82</v>
      </c>
      <c r="N13" s="212">
        <f t="shared" si="0"/>
        <v>1.01</v>
      </c>
      <c r="O13" s="212">
        <f t="shared" si="1"/>
        <v>0.94399999999999995</v>
      </c>
      <c r="P13" s="46">
        <f>ROUND(O13-M13,2)</f>
        <v>0.12</v>
      </c>
      <c r="Q13" s="12" t="s">
        <v>9</v>
      </c>
      <c r="R13" s="12">
        <v>1</v>
      </c>
      <c r="S13" s="213"/>
      <c r="T13" s="211">
        <v>1.01012077287073</v>
      </c>
      <c r="U13" s="211">
        <v>0.94447445904728</v>
      </c>
      <c r="V13" s="210">
        <v>1.01</v>
      </c>
      <c r="W13" s="210">
        <v>0.94499999999999995</v>
      </c>
      <c r="X13" s="204">
        <v>1.010033</v>
      </c>
      <c r="Y13" s="204">
        <v>0.94433600000000006</v>
      </c>
    </row>
    <row r="14" spans="1:25" ht="12" customHeight="1" x14ac:dyDescent="0.2">
      <c r="A14" s="3" t="s">
        <v>141</v>
      </c>
      <c r="B14" s="3" t="s">
        <v>140</v>
      </c>
      <c r="C14" s="3" t="s">
        <v>241</v>
      </c>
      <c r="D14" s="3" t="s">
        <v>242</v>
      </c>
      <c r="E14" s="223">
        <f>64+40/60+43/3600</f>
        <v>64.67861111111111</v>
      </c>
      <c r="F14" s="223">
        <f>21+14/60+57/3600</f>
        <v>21.249166666666667</v>
      </c>
      <c r="G14" s="45"/>
      <c r="H14" s="45"/>
      <c r="I14" s="43">
        <f>-L14</f>
        <v>-18</v>
      </c>
      <c r="J14" s="46"/>
      <c r="K14" s="33">
        <v>0</v>
      </c>
      <c r="L14" s="44">
        <f>ROUND(0.784*L13+0.216*L15,1)</f>
        <v>18</v>
      </c>
      <c r="M14" s="206">
        <f>ROUND((0.784*M13+0.216*M15)*$O$14/(0.784*$O$13+0.216*$O$15),2)</f>
        <v>0.82</v>
      </c>
      <c r="N14" s="212">
        <f t="shared" si="0"/>
        <v>1.016</v>
      </c>
      <c r="O14" s="212">
        <f t="shared" si="1"/>
        <v>0.95</v>
      </c>
      <c r="P14" s="46"/>
      <c r="Q14" s="12" t="s">
        <v>425</v>
      </c>
      <c r="R14" s="12">
        <v>3</v>
      </c>
      <c r="S14" s="213"/>
      <c r="T14" s="211">
        <v>1.01550251417193</v>
      </c>
      <c r="U14" s="211">
        <v>0.94988471198880498</v>
      </c>
      <c r="V14" s="210">
        <v>1.0149999999999999</v>
      </c>
      <c r="W14" s="210">
        <v>0.94899999999999995</v>
      </c>
      <c r="X14" s="106"/>
      <c r="Y14" s="106"/>
    </row>
    <row r="15" spans="1:25" ht="12" customHeight="1" x14ac:dyDescent="0.2">
      <c r="A15" s="3" t="s">
        <v>212</v>
      </c>
      <c r="B15" s="3" t="s">
        <v>143</v>
      </c>
      <c r="C15" s="3" t="s">
        <v>46</v>
      </c>
      <c r="D15" s="3" t="s">
        <v>67</v>
      </c>
      <c r="E15" s="223">
        <f>63+59/60+10/3600</f>
        <v>63.986111111111114</v>
      </c>
      <c r="F15" s="223">
        <f>20+53/60+42/3600</f>
        <v>20.895</v>
      </c>
      <c r="G15" s="35">
        <v>765.2</v>
      </c>
      <c r="H15" s="35">
        <v>685.7</v>
      </c>
      <c r="I15" s="35">
        <v>658.3</v>
      </c>
      <c r="J15" s="35">
        <v>659.2</v>
      </c>
      <c r="K15" s="35">
        <v>154</v>
      </c>
      <c r="L15" s="35">
        <v>19.2</v>
      </c>
      <c r="M15" s="46">
        <v>0.8</v>
      </c>
      <c r="N15" s="212">
        <f t="shared" si="0"/>
        <v>1.016</v>
      </c>
      <c r="O15" s="212">
        <f t="shared" si="1"/>
        <v>0.95099999999999996</v>
      </c>
      <c r="P15" s="46">
        <f>ROUND(O15-M15,2)</f>
        <v>0.15</v>
      </c>
      <c r="Q15" s="12" t="s">
        <v>10</v>
      </c>
      <c r="R15" s="12">
        <v>1</v>
      </c>
      <c r="S15" s="213"/>
      <c r="T15" s="211">
        <v>1.0158838681921101</v>
      </c>
      <c r="U15" s="211">
        <v>0.95064693035529713</v>
      </c>
      <c r="V15" s="210">
        <v>1.0169999999999999</v>
      </c>
      <c r="W15" s="210">
        <v>0.95199999999999996</v>
      </c>
      <c r="X15" s="204">
        <v>1.016162</v>
      </c>
      <c r="Y15" s="204">
        <v>0.95081900000000008</v>
      </c>
    </row>
    <row r="16" spans="1:25" ht="12" customHeight="1" x14ac:dyDescent="0.2">
      <c r="A16" s="3" t="s">
        <v>165</v>
      </c>
      <c r="B16" s="3" t="s">
        <v>164</v>
      </c>
      <c r="C16" s="3" t="s">
        <v>166</v>
      </c>
      <c r="D16" s="3" t="s">
        <v>167</v>
      </c>
      <c r="E16" s="223">
        <f>63+41/60+45/3600</f>
        <v>63.695833333333333</v>
      </c>
      <c r="F16" s="223">
        <f>20+20/60+50/3600</f>
        <v>20.347222222222221</v>
      </c>
      <c r="G16" s="45"/>
      <c r="H16" s="45"/>
      <c r="I16" s="43">
        <f>-L16</f>
        <v>-18.2</v>
      </c>
      <c r="J16" s="46"/>
      <c r="K16" s="33">
        <v>0</v>
      </c>
      <c r="L16" s="44">
        <f>ROUND(0.633*L15+0.367*L18,1)</f>
        <v>18.2</v>
      </c>
      <c r="M16" s="206">
        <f>ROUND((0.633*M15+0.367*M18)*$O$16/(0.633*$O$15+0.367*$O$18),2)</f>
        <v>0.8</v>
      </c>
      <c r="N16" s="212">
        <f t="shared" si="0"/>
        <v>1.016</v>
      </c>
      <c r="O16" s="212">
        <f t="shared" si="1"/>
        <v>0.95099999999999996</v>
      </c>
      <c r="P16" s="46"/>
      <c r="Q16" s="12" t="s">
        <v>425</v>
      </c>
      <c r="R16" s="12">
        <v>2</v>
      </c>
      <c r="S16" s="213"/>
      <c r="T16" s="211">
        <v>1.0162619716958601</v>
      </c>
      <c r="U16" s="211">
        <v>0.95142748828220403</v>
      </c>
      <c r="V16" s="210">
        <v>1.018</v>
      </c>
      <c r="W16" s="210">
        <v>0.95299999999999996</v>
      </c>
      <c r="X16" s="106"/>
      <c r="Y16" s="106"/>
    </row>
    <row r="17" spans="1:25" ht="12" customHeight="1" x14ac:dyDescent="0.2">
      <c r="A17" s="3" t="s">
        <v>213</v>
      </c>
      <c r="B17" s="3" t="s">
        <v>372</v>
      </c>
      <c r="C17" s="3" t="s">
        <v>47</v>
      </c>
      <c r="D17" s="3" t="s">
        <v>68</v>
      </c>
      <c r="E17" s="223">
        <f>63+11/60+26/3600</f>
        <v>63.190555555555555</v>
      </c>
      <c r="F17" s="223">
        <f>19+0/60+45/3600</f>
        <v>19.012499999999999</v>
      </c>
      <c r="G17" s="21">
        <f>ROUND(G15+I17-I15,0)</f>
        <v>947</v>
      </c>
      <c r="H17" s="175">
        <v>868.7</v>
      </c>
      <c r="I17" s="175">
        <v>840.4</v>
      </c>
      <c r="J17" s="175">
        <v>841.3</v>
      </c>
      <c r="K17" s="35">
        <v>610</v>
      </c>
      <c r="L17" s="44">
        <f>ROUND(L18,1)</f>
        <v>16.399999999999999</v>
      </c>
      <c r="M17" s="206">
        <f>ROUND(M18,2)</f>
        <v>0.8</v>
      </c>
      <c r="N17" s="212">
        <f t="shared" si="0"/>
        <v>1.0109999999999999</v>
      </c>
      <c r="O17" s="212">
        <f t="shared" si="1"/>
        <v>0.94799999999999995</v>
      </c>
      <c r="P17" s="46">
        <f>ROUND(O17-M17,2)</f>
        <v>0.15</v>
      </c>
      <c r="Q17" s="12" t="s">
        <v>371</v>
      </c>
      <c r="R17" s="12">
        <v>4</v>
      </c>
      <c r="S17" s="213"/>
      <c r="T17" s="211">
        <v>1.01099654740169</v>
      </c>
      <c r="U17" s="211">
        <v>0.94776142451024714</v>
      </c>
      <c r="V17" s="210">
        <v>1.014</v>
      </c>
      <c r="W17" s="210">
        <v>0.95</v>
      </c>
      <c r="X17" s="204">
        <v>1.0103339999999998</v>
      </c>
      <c r="Y17" s="204">
        <v>0.94728200000000007</v>
      </c>
    </row>
    <row r="18" spans="1:25" ht="12" customHeight="1" x14ac:dyDescent="0.2">
      <c r="A18" s="3" t="s">
        <v>161</v>
      </c>
      <c r="B18" s="3" t="s">
        <v>399</v>
      </c>
      <c r="C18" s="3" t="s">
        <v>47</v>
      </c>
      <c r="D18" s="3" t="s">
        <v>68</v>
      </c>
      <c r="E18" s="223">
        <f>63+11/60+26/3600</f>
        <v>63.190555555555555</v>
      </c>
      <c r="F18" s="223">
        <f>19+0/60+45/3600</f>
        <v>19.012499999999999</v>
      </c>
      <c r="G18" s="45"/>
      <c r="H18" s="45"/>
      <c r="I18" s="195">
        <f>-L18</f>
        <v>-16.399999999999999</v>
      </c>
      <c r="J18" s="46"/>
      <c r="K18" s="10">
        <v>0</v>
      </c>
      <c r="L18" s="35">
        <v>16.399999999999999</v>
      </c>
      <c r="M18" s="46">
        <v>0.8</v>
      </c>
      <c r="N18" s="212">
        <f t="shared" si="0"/>
        <v>1.0109999999999999</v>
      </c>
      <c r="O18" s="212">
        <f t="shared" si="1"/>
        <v>0.94799999999999995</v>
      </c>
      <c r="P18" s="46"/>
      <c r="Q18" s="12" t="s">
        <v>389</v>
      </c>
      <c r="R18" s="12">
        <v>1</v>
      </c>
      <c r="S18" s="213"/>
      <c r="T18" s="211">
        <v>1.01099654740169</v>
      </c>
      <c r="U18" s="211">
        <v>0.94776142451024714</v>
      </c>
      <c r="V18" s="210">
        <v>1.014</v>
      </c>
      <c r="W18" s="210">
        <v>0.95</v>
      </c>
      <c r="X18" s="204">
        <v>1.0103339999999998</v>
      </c>
      <c r="Y18" s="204">
        <v>0.94728200000000007</v>
      </c>
    </row>
    <row r="19" spans="1:25" ht="12" customHeight="1" x14ac:dyDescent="0.2">
      <c r="A19" s="3" t="s">
        <v>393</v>
      </c>
      <c r="B19" s="3" t="s">
        <v>392</v>
      </c>
      <c r="C19" s="3" t="s">
        <v>397</v>
      </c>
      <c r="D19" s="3" t="s">
        <v>163</v>
      </c>
      <c r="E19" s="223">
        <f>62+52/60+50/3600</f>
        <v>62.880555555555553</v>
      </c>
      <c r="F19" s="223">
        <f>17+52/60+35/3600</f>
        <v>17.87638888888889</v>
      </c>
      <c r="G19" s="45"/>
      <c r="H19" s="45"/>
      <c r="I19" s="43">
        <f>-L19</f>
        <v>-16.3</v>
      </c>
      <c r="J19" s="46"/>
      <c r="K19" s="10">
        <v>0</v>
      </c>
      <c r="L19" s="44">
        <f>ROUND(0.495*L18+0.505*L21,1)</f>
        <v>16.3</v>
      </c>
      <c r="M19" s="206">
        <f>ROUND((0.495*M18+0.505*M21)*$O$19/(0.495*$O$18+0.505*$O$21),2)</f>
        <v>0.77</v>
      </c>
      <c r="N19" s="212">
        <f t="shared" si="0"/>
        <v>0.98299999999999998</v>
      </c>
      <c r="O19" s="212">
        <f t="shared" si="1"/>
        <v>0.92</v>
      </c>
      <c r="P19" s="46"/>
      <c r="Q19" s="12" t="s">
        <v>373</v>
      </c>
      <c r="R19" s="12">
        <v>2</v>
      </c>
      <c r="S19" s="213"/>
      <c r="T19" s="211">
        <v>0.98266827515268496</v>
      </c>
      <c r="U19" s="211">
        <v>0.9202291990844641</v>
      </c>
      <c r="V19" s="210">
        <v>0.98399999999999999</v>
      </c>
      <c r="W19" s="210">
        <v>0.92100000000000004</v>
      </c>
      <c r="X19" s="106"/>
      <c r="Y19" s="106"/>
    </row>
    <row r="20" spans="1:25" ht="12" customHeight="1" x14ac:dyDescent="0.2">
      <c r="A20" s="3" t="s">
        <v>214</v>
      </c>
      <c r="B20" s="3" t="s">
        <v>377</v>
      </c>
      <c r="C20" s="3" t="s">
        <v>120</v>
      </c>
      <c r="D20" s="3" t="s">
        <v>119</v>
      </c>
      <c r="E20" s="223">
        <f>62+20/60+0/3600</f>
        <v>62.333333333333336</v>
      </c>
      <c r="F20" s="223">
        <f>17+28/60+0/3600</f>
        <v>17.466666666666665</v>
      </c>
      <c r="G20" s="35">
        <v>974</v>
      </c>
      <c r="H20" s="35">
        <v>905</v>
      </c>
      <c r="I20" s="21">
        <f>ROUND(I21+G20-G21,0)</f>
        <v>877</v>
      </c>
      <c r="J20" s="35"/>
      <c r="K20" s="10">
        <v>0</v>
      </c>
      <c r="L20" s="44">
        <f>ROUND(L21,1)</f>
        <v>16.2</v>
      </c>
      <c r="M20" s="206">
        <f>ROUND(M21*$O$20/$O$21,2)</f>
        <v>0.74</v>
      </c>
      <c r="N20" s="212">
        <f t="shared" si="0"/>
        <v>0.95199999999999996</v>
      </c>
      <c r="O20" s="212">
        <f t="shared" si="1"/>
        <v>0.89200000000000002</v>
      </c>
      <c r="P20" s="46">
        <f>ROUND(O20-M20,2)</f>
        <v>0.15</v>
      </c>
      <c r="Q20" s="12" t="s">
        <v>374</v>
      </c>
      <c r="R20" s="12">
        <v>4</v>
      </c>
      <c r="S20" s="213"/>
      <c r="T20" s="211">
        <v>0.95219297200750208</v>
      </c>
      <c r="U20" s="211">
        <v>0.89153706837828617</v>
      </c>
      <c r="V20" s="210">
        <v>0.94899999999999995</v>
      </c>
      <c r="W20" s="210">
        <v>0.88900000000000001</v>
      </c>
      <c r="X20" s="204">
        <v>0.95177299999999998</v>
      </c>
      <c r="Y20" s="204">
        <v>0.89114000000000004</v>
      </c>
    </row>
    <row r="21" spans="1:25" ht="12" customHeight="1" x14ac:dyDescent="0.2">
      <c r="A21" s="3" t="s">
        <v>215</v>
      </c>
      <c r="B21" s="3" t="s">
        <v>144</v>
      </c>
      <c r="C21" s="3" t="s">
        <v>48</v>
      </c>
      <c r="D21" s="3" t="s">
        <v>69</v>
      </c>
      <c r="E21" s="223">
        <f>62+21/60+48/3600</f>
        <v>62.363333333333337</v>
      </c>
      <c r="F21" s="223">
        <f>17+31/60+52/3600</f>
        <v>17.531111111111109</v>
      </c>
      <c r="G21" s="35">
        <v>881</v>
      </c>
      <c r="H21" s="35">
        <v>812.2</v>
      </c>
      <c r="I21" s="35">
        <v>784</v>
      </c>
      <c r="J21" s="35">
        <v>784.8</v>
      </c>
      <c r="K21" s="35">
        <v>404</v>
      </c>
      <c r="L21" s="35">
        <v>16.2</v>
      </c>
      <c r="M21" s="46">
        <f>0.68+0.06</f>
        <v>0.74</v>
      </c>
      <c r="N21" s="212">
        <f t="shared" si="0"/>
        <v>0.95499999999999996</v>
      </c>
      <c r="O21" s="212">
        <f t="shared" si="1"/>
        <v>0.89400000000000002</v>
      </c>
      <c r="P21" s="46">
        <f>ROUND(O21-M21,2)</f>
        <v>0.15</v>
      </c>
      <c r="Q21" s="12" t="s">
        <v>12</v>
      </c>
      <c r="R21" s="12">
        <v>1</v>
      </c>
      <c r="S21" s="213"/>
      <c r="T21" s="211">
        <v>0.95488396346108806</v>
      </c>
      <c r="U21" s="211">
        <v>0.894145678163911</v>
      </c>
      <c r="V21" s="210">
        <v>0.95699999999999996</v>
      </c>
      <c r="W21" s="210">
        <v>0.89600000000000002</v>
      </c>
      <c r="X21" s="204">
        <v>0.95400200000000002</v>
      </c>
      <c r="Y21" s="204">
        <v>0.89334000000000002</v>
      </c>
    </row>
    <row r="22" spans="1:25" ht="12" customHeight="1" x14ac:dyDescent="0.2">
      <c r="A22" s="3" t="s">
        <v>416</v>
      </c>
      <c r="B22" s="3" t="s">
        <v>173</v>
      </c>
      <c r="C22" s="3" t="s">
        <v>168</v>
      </c>
      <c r="D22" s="3" t="s">
        <v>169</v>
      </c>
      <c r="E22" s="223">
        <f>61+12/60+25/3600</f>
        <v>61.206944444444446</v>
      </c>
      <c r="F22" s="223">
        <f>17+8/60+44/3600</f>
        <v>17.145555555555553</v>
      </c>
      <c r="G22" s="45"/>
      <c r="H22" s="45"/>
      <c r="I22" s="43">
        <f>-L22</f>
        <v>-16.899999999999999</v>
      </c>
      <c r="J22" s="46"/>
      <c r="K22" s="10">
        <v>0</v>
      </c>
      <c r="L22" s="44">
        <f>ROUND(0.411*L21+0.589*L25,1)</f>
        <v>16.899999999999999</v>
      </c>
      <c r="M22" s="206">
        <f>ROUND((0.411*M$21+0.589*M$25)*$O$22/(0.411*$O$21+0.589*$O$25),2)</f>
        <v>0.64</v>
      </c>
      <c r="N22" s="212">
        <f t="shared" si="0"/>
        <v>0.84699999999999998</v>
      </c>
      <c r="O22" s="212">
        <f t="shared" si="1"/>
        <v>0.79100000000000004</v>
      </c>
      <c r="P22" s="208"/>
      <c r="Q22" s="12" t="s">
        <v>425</v>
      </c>
      <c r="R22" s="12">
        <v>2</v>
      </c>
      <c r="S22" s="213"/>
      <c r="T22" s="211">
        <v>0.8468478101034651</v>
      </c>
      <c r="U22" s="211">
        <v>0.79088104096569412</v>
      </c>
      <c r="V22" s="210">
        <v>0.85199999999999998</v>
      </c>
      <c r="W22" s="210">
        <v>0.79600000000000004</v>
      </c>
      <c r="X22" s="204">
        <v>0.84808299999999992</v>
      </c>
      <c r="Y22" s="204">
        <v>0.79095199999999999</v>
      </c>
    </row>
    <row r="23" spans="1:25" ht="12" customHeight="1" x14ac:dyDescent="0.2">
      <c r="A23" s="3" t="s">
        <v>172</v>
      </c>
      <c r="B23" s="3" t="s">
        <v>174</v>
      </c>
      <c r="C23" s="3" t="s">
        <v>170</v>
      </c>
      <c r="D23" s="3" t="s">
        <v>171</v>
      </c>
      <c r="E23" s="223">
        <f>60+44/60+19/3600</f>
        <v>60.738611111111112</v>
      </c>
      <c r="F23" s="223">
        <f>17+19/60+7/3600</f>
        <v>17.31861111111111</v>
      </c>
      <c r="G23" s="45"/>
      <c r="H23" s="45"/>
      <c r="I23" s="43">
        <f>-L23</f>
        <v>-17.2</v>
      </c>
      <c r="J23" s="46"/>
      <c r="K23" s="35">
        <v>0</v>
      </c>
      <c r="L23" s="44">
        <f>ROUND(0.165*L21+0.835*L25,1)</f>
        <v>17.2</v>
      </c>
      <c r="M23" s="206">
        <f>ROUND((0.165*M21+0.835*M25)*$O$23/(0.165*$O$21+0.835*$O$25),2)</f>
        <v>0.57999999999999996</v>
      </c>
      <c r="N23" s="212">
        <f t="shared" si="0"/>
        <v>0.77900000000000003</v>
      </c>
      <c r="O23" s="212">
        <f t="shared" si="1"/>
        <v>0.72599999999999998</v>
      </c>
      <c r="P23" s="208"/>
      <c r="Q23" s="12" t="s">
        <v>425</v>
      </c>
      <c r="R23" s="12">
        <v>2</v>
      </c>
      <c r="S23" s="213"/>
      <c r="T23" s="211">
        <v>0.77949271550767696</v>
      </c>
      <c r="U23" s="211">
        <v>0.72602542665744507</v>
      </c>
      <c r="V23" s="210">
        <v>0.78100000000000003</v>
      </c>
      <c r="W23" s="210">
        <v>0.72799999999999998</v>
      </c>
      <c r="X23" s="106"/>
      <c r="Y23" s="106"/>
    </row>
    <row r="24" spans="1:25" ht="12" customHeight="1" x14ac:dyDescent="0.2">
      <c r="A24" s="3" t="s">
        <v>216</v>
      </c>
      <c r="B24" s="3" t="s">
        <v>378</v>
      </c>
      <c r="C24" s="3" t="s">
        <v>429</v>
      </c>
      <c r="D24" s="3" t="s">
        <v>430</v>
      </c>
      <c r="E24" s="223">
        <f>60+38/60+0/3600</f>
        <v>60.633333333333333</v>
      </c>
      <c r="F24" s="223">
        <f>17+58/60+0/3600</f>
        <v>17.966666666666665</v>
      </c>
      <c r="G24" s="35">
        <v>679.8</v>
      </c>
      <c r="H24" s="35">
        <v>624.4</v>
      </c>
      <c r="I24" s="21">
        <f>ROUND(I25+G24-G25,0)</f>
        <v>608</v>
      </c>
      <c r="J24" s="35"/>
      <c r="K24" s="10">
        <v>0</v>
      </c>
      <c r="L24" s="44">
        <f>ROUND(L25,1)</f>
        <v>17.399999999999999</v>
      </c>
      <c r="M24" s="206">
        <f>ROUND(M25*$O$24/$O$25,2)</f>
        <v>0.56000000000000005</v>
      </c>
      <c r="N24" s="212">
        <f t="shared" si="0"/>
        <v>0.76200000000000001</v>
      </c>
      <c r="O24" s="212">
        <f t="shared" si="1"/>
        <v>0.71</v>
      </c>
      <c r="P24" s="46">
        <f>ROUND(O24-M24,2)</f>
        <v>0.15</v>
      </c>
      <c r="Q24" s="12" t="s">
        <v>13</v>
      </c>
      <c r="R24" s="12">
        <v>4</v>
      </c>
      <c r="S24" s="215"/>
      <c r="T24" s="211">
        <v>0.76196797038194397</v>
      </c>
      <c r="U24" s="211">
        <v>0.70961537463300406</v>
      </c>
      <c r="V24" s="210">
        <v>0.76800000000000002</v>
      </c>
      <c r="W24" s="210">
        <v>0.71499999999999997</v>
      </c>
      <c r="X24" s="204">
        <v>0.76455499999999998</v>
      </c>
      <c r="Y24" s="204">
        <v>0.71106100000000005</v>
      </c>
    </row>
    <row r="25" spans="1:25" ht="12" customHeight="1" x14ac:dyDescent="0.2">
      <c r="A25" s="3" t="s">
        <v>217</v>
      </c>
      <c r="B25" s="3" t="s">
        <v>145</v>
      </c>
      <c r="C25" s="3" t="s">
        <v>49</v>
      </c>
      <c r="D25" s="3" t="s">
        <v>70</v>
      </c>
      <c r="E25" s="223">
        <f>60+24/60+31/3600</f>
        <v>60.408611111111107</v>
      </c>
      <c r="F25" s="223">
        <f>18+12/60+39/3600</f>
        <v>18.210833333333333</v>
      </c>
      <c r="G25" s="35">
        <v>963</v>
      </c>
      <c r="H25" s="35">
        <v>909.6</v>
      </c>
      <c r="I25" s="35">
        <v>891.2</v>
      </c>
      <c r="J25" s="35">
        <v>891.8</v>
      </c>
      <c r="K25" s="35">
        <v>217</v>
      </c>
      <c r="L25" s="35">
        <v>17.399999999999999</v>
      </c>
      <c r="M25" s="46">
        <f>0.64-0.11</f>
        <v>0.53</v>
      </c>
      <c r="N25" s="212">
        <f t="shared" si="0"/>
        <v>0.72599999999999998</v>
      </c>
      <c r="O25" s="212">
        <f t="shared" si="1"/>
        <v>0.67500000000000004</v>
      </c>
      <c r="P25" s="46">
        <f>ROUND(O25-M25,2)</f>
        <v>0.15</v>
      </c>
      <c r="Q25" s="12" t="s">
        <v>14</v>
      </c>
      <c r="R25" s="12">
        <v>1</v>
      </c>
      <c r="S25" s="215"/>
      <c r="T25" s="211">
        <v>0.72622680649706506</v>
      </c>
      <c r="U25" s="211">
        <v>0.67540189424248309</v>
      </c>
      <c r="V25" s="210">
        <v>0.72799999999999998</v>
      </c>
      <c r="W25" s="210">
        <v>0.67700000000000005</v>
      </c>
      <c r="X25" s="204">
        <v>0.72664099999999998</v>
      </c>
      <c r="Y25" s="204">
        <v>0.67600199999999999</v>
      </c>
    </row>
    <row r="26" spans="1:25" ht="12" customHeight="1" x14ac:dyDescent="0.2">
      <c r="A26" s="194" t="s">
        <v>421</v>
      </c>
      <c r="B26" s="3" t="s">
        <v>423</v>
      </c>
      <c r="C26" s="3" t="s">
        <v>419</v>
      </c>
      <c r="D26" s="3" t="s">
        <v>420</v>
      </c>
      <c r="E26" s="223">
        <f>60+43/60+9/3600</f>
        <v>60.719166666666666</v>
      </c>
      <c r="F26" s="223">
        <f>19+4/60+8/3600</f>
        <v>19.068888888888889</v>
      </c>
      <c r="G26" s="35"/>
      <c r="H26" s="35"/>
      <c r="I26" s="43">
        <f>-L26</f>
        <v>-16.8</v>
      </c>
      <c r="J26" s="35"/>
      <c r="K26" s="35">
        <v>0</v>
      </c>
      <c r="L26" s="44">
        <f>ROUND(0.364*L25+0.636*L28,1)</f>
        <v>16.8</v>
      </c>
      <c r="M26" s="206">
        <f>ROUND((0.364*$M$25+0.636*$M$28)*$O$27/(0.364*$O$25+0.636*$O$28),2)</f>
        <v>0.4</v>
      </c>
      <c r="N26" s="212">
        <f t="shared" ref="N26:N27" si="2">ROUND(T26,3)</f>
        <v>0.63100000000000001</v>
      </c>
      <c r="O26" s="212">
        <f t="shared" ref="O26:O27" si="3">ROUND(U26,3)</f>
        <v>0.58499999999999996</v>
      </c>
      <c r="P26" s="46"/>
      <c r="R26" s="12">
        <v>2</v>
      </c>
      <c r="S26" s="215"/>
      <c r="T26" s="218">
        <f>ROUND(0.364*T25+0.636*T28,6)</f>
        <v>0.63088299999999997</v>
      </c>
      <c r="U26" s="218">
        <f>ROUND(0.364*U25+0.636*U28,6)</f>
        <v>0.58472299999999999</v>
      </c>
      <c r="V26" s="210"/>
      <c r="W26" s="210"/>
      <c r="X26" s="204"/>
      <c r="Y26" s="204"/>
    </row>
    <row r="27" spans="1:25" ht="12" customHeight="1" x14ac:dyDescent="0.2">
      <c r="A27" s="3" t="s">
        <v>178</v>
      </c>
      <c r="B27" s="3" t="s">
        <v>175</v>
      </c>
      <c r="C27" s="3" t="s">
        <v>176</v>
      </c>
      <c r="D27" s="3" t="s">
        <v>177</v>
      </c>
      <c r="E27" s="223">
        <f>59+20/60+29/3600</f>
        <v>59.341388888888893</v>
      </c>
      <c r="F27" s="223">
        <f>18+8/60+14/3600</f>
        <v>18.137222222222221</v>
      </c>
      <c r="G27" s="45"/>
      <c r="H27" s="45"/>
      <c r="I27" s="43">
        <f>-L27</f>
        <v>-16.399999999999999</v>
      </c>
      <c r="J27" s="46"/>
      <c r="K27" s="35">
        <v>0</v>
      </c>
      <c r="L27" s="44">
        <f>ROUND(0.948*L28+0.052*L30,1)</f>
        <v>16.399999999999999</v>
      </c>
      <c r="M27" s="206">
        <f>ROUND((0.052*$M$25+0.948*$M$28)*$O$27/(0.052*$O$25+0.948*$O$28),2)</f>
        <v>0.38</v>
      </c>
      <c r="N27" s="212">
        <f t="shared" si="2"/>
        <v>0.57699999999999996</v>
      </c>
      <c r="O27" s="212">
        <f t="shared" si="3"/>
        <v>0.53400000000000003</v>
      </c>
      <c r="P27" s="208"/>
      <c r="Q27" s="12" t="s">
        <v>425</v>
      </c>
      <c r="R27" s="12">
        <v>2</v>
      </c>
      <c r="S27" s="215"/>
      <c r="T27" s="211">
        <v>0.577103143371272</v>
      </c>
      <c r="U27" s="211">
        <v>0.533552642192471</v>
      </c>
      <c r="V27" s="210">
        <v>0.59</v>
      </c>
      <c r="W27" s="210">
        <v>0.54600000000000004</v>
      </c>
      <c r="X27" s="204">
        <v>0.57645000000000002</v>
      </c>
      <c r="Y27" s="204">
        <v>0.53286100000000003</v>
      </c>
    </row>
    <row r="28" spans="1:25" ht="12" customHeight="1" x14ac:dyDescent="0.2">
      <c r="A28" s="3" t="s">
        <v>218</v>
      </c>
      <c r="B28" s="3" t="s">
        <v>152</v>
      </c>
      <c r="C28" s="3" t="s">
        <v>50</v>
      </c>
      <c r="D28" s="3" t="s">
        <v>71</v>
      </c>
      <c r="E28" s="223">
        <f>59+19/60+27/3600</f>
        <v>59.32416666666667</v>
      </c>
      <c r="F28" s="223">
        <f>18+4/60+55/3600</f>
        <v>18.081944444444446</v>
      </c>
      <c r="G28" s="35">
        <v>730.5</v>
      </c>
      <c r="H28" s="35">
        <v>694.5</v>
      </c>
      <c r="I28" s="35">
        <v>678.2</v>
      </c>
      <c r="J28" s="35">
        <v>678.9</v>
      </c>
      <c r="K28" s="35">
        <v>553</v>
      </c>
      <c r="L28" s="35">
        <v>16.5</v>
      </c>
      <c r="M28" s="46">
        <v>0.38</v>
      </c>
      <c r="N28" s="212">
        <f t="shared" si="0"/>
        <v>0.57599999999999996</v>
      </c>
      <c r="O28" s="212">
        <f t="shared" si="1"/>
        <v>0.53300000000000003</v>
      </c>
      <c r="P28" s="46">
        <f>ROUND(O28-M28,2)</f>
        <v>0.15</v>
      </c>
      <c r="Q28" s="12" t="s">
        <v>15</v>
      </c>
      <c r="R28" s="12">
        <v>1</v>
      </c>
      <c r="S28" s="215"/>
      <c r="T28" s="211">
        <v>0.57631584417028603</v>
      </c>
      <c r="U28" s="211">
        <v>0.53282460661189801</v>
      </c>
      <c r="V28" s="210">
        <v>0.57899999999999996</v>
      </c>
      <c r="W28" s="210">
        <v>0.53600000000000003</v>
      </c>
      <c r="X28" s="204">
        <v>0.57690700000000006</v>
      </c>
      <c r="Y28" s="204">
        <v>0.53358400000000006</v>
      </c>
    </row>
    <row r="29" spans="1:25" ht="12" customHeight="1" x14ac:dyDescent="0.2">
      <c r="A29" s="3" t="s">
        <v>417</v>
      </c>
      <c r="B29" s="3" t="s">
        <v>394</v>
      </c>
      <c r="C29" s="3" t="s">
        <v>179</v>
      </c>
      <c r="D29" s="3" t="s">
        <v>180</v>
      </c>
      <c r="E29" s="223">
        <f>58+55/60+3/3600</f>
        <v>58.917499999999997</v>
      </c>
      <c r="F29" s="223">
        <f>17+58/60+20/3600</f>
        <v>17.972222222222221</v>
      </c>
      <c r="G29" s="45"/>
      <c r="H29" s="45"/>
      <c r="I29" s="43">
        <f>-L29</f>
        <v>-14.6</v>
      </c>
      <c r="J29" s="46"/>
      <c r="K29" s="35">
        <v>0</v>
      </c>
      <c r="L29" s="44">
        <f>ROUND(0.108*L28+0.892*L30,1)</f>
        <v>14.6</v>
      </c>
      <c r="M29" s="206">
        <f>ROUND((0.108*M28+0.892*M30)*$O$29/(0.108*$O$28+0.892*$O$30),2)</f>
        <v>0.31</v>
      </c>
      <c r="N29" s="212">
        <f t="shared" si="0"/>
        <v>0.52200000000000002</v>
      </c>
      <c r="O29" s="212">
        <f t="shared" si="1"/>
        <v>0.48099999999999998</v>
      </c>
      <c r="P29" s="46"/>
      <c r="Q29" s="12" t="s">
        <v>373</v>
      </c>
      <c r="R29" s="12">
        <v>2</v>
      </c>
      <c r="S29" s="215"/>
      <c r="T29" s="211">
        <v>0.52167888253447403</v>
      </c>
      <c r="U29" s="211">
        <v>0.48117753291857801</v>
      </c>
      <c r="V29" s="210">
        <v>0.53700000000000003</v>
      </c>
      <c r="W29" s="210">
        <v>0.495</v>
      </c>
      <c r="X29" s="204">
        <v>0.52113399999999999</v>
      </c>
      <c r="Y29" s="204">
        <v>0.48063700000000004</v>
      </c>
    </row>
    <row r="30" spans="1:25" ht="12" customHeight="1" x14ac:dyDescent="0.2">
      <c r="A30" s="3" t="s">
        <v>219</v>
      </c>
      <c r="B30" s="3" t="s">
        <v>151</v>
      </c>
      <c r="C30" s="3" t="s">
        <v>51</v>
      </c>
      <c r="D30" s="3" t="s">
        <v>72</v>
      </c>
      <c r="E30" s="223">
        <f>58+46/60+8/3600</f>
        <v>58.768888888888888</v>
      </c>
      <c r="F30" s="223">
        <f>17+51/60+32/3600</f>
        <v>17.858888888888892</v>
      </c>
      <c r="G30" s="35">
        <v>713.7</v>
      </c>
      <c r="H30" s="35">
        <v>679.2</v>
      </c>
      <c r="I30" s="35">
        <v>665.5</v>
      </c>
      <c r="J30" s="35">
        <v>666.2</v>
      </c>
      <c r="K30" s="35">
        <v>542</v>
      </c>
      <c r="L30" s="35">
        <v>14.4</v>
      </c>
      <c r="M30" s="46">
        <v>0.28999999999999998</v>
      </c>
      <c r="N30" s="212">
        <f t="shared" si="0"/>
        <v>0.502</v>
      </c>
      <c r="O30" s="212">
        <f t="shared" si="1"/>
        <v>0.46200000000000002</v>
      </c>
      <c r="P30" s="46">
        <f>ROUND(O30-M30,2)</f>
        <v>0.17</v>
      </c>
      <c r="Q30" s="12" t="s">
        <v>29</v>
      </c>
      <c r="R30" s="12">
        <v>1</v>
      </c>
      <c r="S30" s="214"/>
      <c r="T30" s="211">
        <v>0.50154291656397809</v>
      </c>
      <c r="U30" s="211">
        <v>0.46207922956884206</v>
      </c>
      <c r="V30" s="210">
        <v>0.51200000000000001</v>
      </c>
      <c r="W30" s="210">
        <v>0.47199999999999998</v>
      </c>
      <c r="X30" s="204">
        <v>0.50019999999999998</v>
      </c>
      <c r="Y30" s="204">
        <v>0.461148</v>
      </c>
    </row>
    <row r="31" spans="1:25" ht="12" customHeight="1" x14ac:dyDescent="0.2">
      <c r="A31" s="3" t="s">
        <v>221</v>
      </c>
      <c r="B31" s="3" t="s">
        <v>379</v>
      </c>
      <c r="C31" s="3" t="s">
        <v>122</v>
      </c>
      <c r="D31" s="3" t="s">
        <v>121</v>
      </c>
      <c r="E31" s="223">
        <f>58+45/60+0/3600</f>
        <v>58.75</v>
      </c>
      <c r="F31" s="223">
        <f>17+52/60+0/3600</f>
        <v>17.866666666666667</v>
      </c>
      <c r="G31" s="35">
        <v>713.7</v>
      </c>
      <c r="H31" s="35">
        <v>679.1</v>
      </c>
      <c r="I31" s="35">
        <v>665.5</v>
      </c>
      <c r="J31" s="35">
        <v>665.6</v>
      </c>
      <c r="K31" s="35">
        <v>542</v>
      </c>
      <c r="L31" s="44">
        <f>ROUND(L30,1)</f>
        <v>14.4</v>
      </c>
      <c r="M31" s="206">
        <f>ROUND(M30*$O$31/$O$30,2)</f>
        <v>0.28999999999999998</v>
      </c>
      <c r="N31" s="212">
        <f t="shared" si="0"/>
        <v>0.498</v>
      </c>
      <c r="O31" s="212">
        <f t="shared" si="1"/>
        <v>0.45900000000000002</v>
      </c>
      <c r="P31" s="46">
        <f>ROUND(O31-M31,2)</f>
        <v>0.17</v>
      </c>
      <c r="Q31" s="12" t="s">
        <v>35</v>
      </c>
      <c r="R31" s="12">
        <v>4</v>
      </c>
      <c r="S31" s="215"/>
      <c r="T31" s="211">
        <v>0.49848729572724998</v>
      </c>
      <c r="U31" s="211">
        <v>0.45917530434603204</v>
      </c>
      <c r="V31" s="210">
        <v>0.499</v>
      </c>
      <c r="W31" s="210">
        <v>0.46</v>
      </c>
      <c r="X31" s="204">
        <v>0.49874099999999999</v>
      </c>
      <c r="Y31" s="204">
        <v>0.45955500000000005</v>
      </c>
    </row>
    <row r="32" spans="1:25" ht="12" customHeight="1" x14ac:dyDescent="0.2">
      <c r="A32" s="3" t="s">
        <v>181</v>
      </c>
      <c r="B32" s="3" t="s">
        <v>183</v>
      </c>
      <c r="C32" s="3" t="s">
        <v>185</v>
      </c>
      <c r="D32" s="3" t="s">
        <v>186</v>
      </c>
      <c r="E32" s="223">
        <f>59+11/60+5/3600</f>
        <v>59.18472222222222</v>
      </c>
      <c r="F32" s="223">
        <f>17+38/60+34/3600</f>
        <v>17.642777777777777</v>
      </c>
      <c r="G32" s="45"/>
      <c r="H32" s="45"/>
      <c r="I32" s="43">
        <f>-L32</f>
        <v>-15.1</v>
      </c>
      <c r="J32" s="46"/>
      <c r="K32" s="10">
        <v>0</v>
      </c>
      <c r="L32" s="44">
        <f>ROUND(L30,1)+0.7</f>
        <v>15.1</v>
      </c>
      <c r="M32" s="206">
        <f>ROUND(M30*$O$32/$O$30,2)</f>
        <v>0.33</v>
      </c>
      <c r="N32" s="212">
        <f t="shared" si="0"/>
        <v>0.56599999999999995</v>
      </c>
      <c r="O32" s="212">
        <f t="shared" si="1"/>
        <v>0.52300000000000002</v>
      </c>
      <c r="P32" s="46"/>
      <c r="Q32" s="12" t="s">
        <v>427</v>
      </c>
      <c r="R32" s="12">
        <v>2</v>
      </c>
      <c r="S32" s="215"/>
      <c r="T32" s="211">
        <v>0.56632967961268099</v>
      </c>
      <c r="U32" s="211">
        <v>0.52349968933375601</v>
      </c>
      <c r="V32" s="210">
        <v>0.57699999999999996</v>
      </c>
      <c r="W32" s="210">
        <v>0.53400000000000003</v>
      </c>
      <c r="X32" s="106"/>
      <c r="Y32" s="106"/>
    </row>
    <row r="33" spans="1:25" ht="12" customHeight="1" x14ac:dyDescent="0.2">
      <c r="A33" s="3" t="s">
        <v>369</v>
      </c>
      <c r="B33" s="3" t="s">
        <v>395</v>
      </c>
      <c r="C33" s="3" t="s">
        <v>187</v>
      </c>
      <c r="D33" s="3" t="s">
        <v>188</v>
      </c>
      <c r="E33" s="223">
        <f>58+39/60+42/3600</f>
        <v>58.661666666666662</v>
      </c>
      <c r="F33" s="223">
        <f>17+7/60+29/3600</f>
        <v>17.124722222222221</v>
      </c>
      <c r="G33" s="45"/>
      <c r="H33" s="45"/>
      <c r="I33" s="43">
        <f>-L33</f>
        <v>-14.8</v>
      </c>
      <c r="J33" s="46"/>
      <c r="K33" s="35">
        <v>0</v>
      </c>
      <c r="L33" s="44">
        <f>ROUND(0.326*L30+0.674*L36,1)</f>
        <v>14.8</v>
      </c>
      <c r="M33" s="206">
        <f>ROUND(0.326*M30+0.674*M35,2)</f>
        <v>0.26</v>
      </c>
      <c r="N33" s="212">
        <f t="shared" si="0"/>
        <v>0.497</v>
      </c>
      <c r="O33" s="212">
        <f t="shared" si="1"/>
        <v>0.45800000000000002</v>
      </c>
      <c r="P33" s="46"/>
      <c r="Q33" s="12" t="s">
        <v>425</v>
      </c>
      <c r="R33" s="12">
        <v>2</v>
      </c>
      <c r="S33" s="215"/>
      <c r="T33" s="211">
        <v>0.49727133423300796</v>
      </c>
      <c r="U33" s="211">
        <v>0.458055363954668</v>
      </c>
      <c r="V33" s="210">
        <v>0.5</v>
      </c>
      <c r="W33" s="210">
        <v>0.46</v>
      </c>
      <c r="X33" s="106"/>
      <c r="Y33" s="106"/>
    </row>
    <row r="34" spans="1:25" ht="12" customHeight="1" x14ac:dyDescent="0.2">
      <c r="A34" s="3" t="s">
        <v>182</v>
      </c>
      <c r="B34" s="3" t="s">
        <v>184</v>
      </c>
      <c r="C34" s="3" t="s">
        <v>189</v>
      </c>
      <c r="D34" s="3" t="s">
        <v>190</v>
      </c>
      <c r="E34" s="223">
        <f>58+38/60+3/3600</f>
        <v>58.634166666666665</v>
      </c>
      <c r="F34" s="223">
        <f>16+19/60+29/3600</f>
        <v>16.324722222222221</v>
      </c>
      <c r="G34" s="45"/>
      <c r="H34" s="45"/>
      <c r="I34" s="43">
        <f>-L34</f>
        <v>-15</v>
      </c>
      <c r="J34" s="46"/>
      <c r="K34" s="35">
        <v>0</v>
      </c>
      <c r="L34" s="44">
        <f>ROUND(L36,1)</f>
        <v>15</v>
      </c>
      <c r="M34" s="206">
        <f>ROUND(M36,2)</f>
        <v>0.25</v>
      </c>
      <c r="N34" s="212">
        <f t="shared" si="0"/>
        <v>0.501</v>
      </c>
      <c r="O34" s="212">
        <f t="shared" si="1"/>
        <v>0.46100000000000002</v>
      </c>
      <c r="P34" s="46"/>
      <c r="Q34" s="12" t="s">
        <v>428</v>
      </c>
      <c r="R34" s="12">
        <v>2</v>
      </c>
      <c r="S34" s="215"/>
      <c r="T34" s="211">
        <v>0.500748072951962</v>
      </c>
      <c r="U34" s="211">
        <v>0.46132073617802205</v>
      </c>
      <c r="V34" s="210">
        <v>0.50600000000000001</v>
      </c>
      <c r="W34" s="210">
        <v>0.46700000000000003</v>
      </c>
      <c r="X34" s="106"/>
      <c r="Y34" s="106"/>
    </row>
    <row r="35" spans="1:25" ht="12" customHeight="1" x14ac:dyDescent="0.2">
      <c r="A35" s="3" t="s">
        <v>220</v>
      </c>
      <c r="B35" s="3" t="s">
        <v>386</v>
      </c>
      <c r="C35" s="3" t="s">
        <v>52</v>
      </c>
      <c r="D35" s="3" t="s">
        <v>73</v>
      </c>
      <c r="E35" s="223">
        <f>58+33/60+13/3600</f>
        <v>58.55361111111111</v>
      </c>
      <c r="F35" s="223">
        <f>16+50/60+14/3600</f>
        <v>16.83722222222222</v>
      </c>
      <c r="G35" s="44">
        <v>800</v>
      </c>
      <c r="H35" s="44">
        <v>778.8</v>
      </c>
      <c r="I35" s="44">
        <v>762.2</v>
      </c>
      <c r="J35" s="44">
        <v>647.20000000000005</v>
      </c>
      <c r="K35" s="35">
        <v>320.3</v>
      </c>
      <c r="L35" s="44">
        <f>ROUND(L36,1)</f>
        <v>15</v>
      </c>
      <c r="M35" s="206">
        <f>ROUND(M36,2)</f>
        <v>0.25</v>
      </c>
      <c r="N35" s="212">
        <f t="shared" si="0"/>
        <v>0.48399999999999999</v>
      </c>
      <c r="O35" s="212">
        <f t="shared" si="1"/>
        <v>0.44600000000000001</v>
      </c>
      <c r="P35" s="46">
        <f>ROUND(O35-M35,2)</f>
        <v>0.2</v>
      </c>
      <c r="Q35" s="12" t="s">
        <v>16</v>
      </c>
      <c r="R35" s="12">
        <v>4</v>
      </c>
      <c r="S35" s="215"/>
      <c r="T35" s="211">
        <v>0.48436351534230299</v>
      </c>
      <c r="U35" s="211">
        <v>0.44581428218933206</v>
      </c>
      <c r="V35" s="210">
        <v>0.48899999999999999</v>
      </c>
      <c r="W35" s="210">
        <v>0.45</v>
      </c>
      <c r="X35" s="204">
        <v>0.48585299999999998</v>
      </c>
      <c r="Y35" s="204">
        <v>0.44785000000000003</v>
      </c>
    </row>
    <row r="36" spans="1:25" ht="12" customHeight="1" x14ac:dyDescent="0.2">
      <c r="A36" s="3" t="s">
        <v>354</v>
      </c>
      <c r="B36" s="3" t="s">
        <v>360</v>
      </c>
      <c r="C36" s="3" t="s">
        <v>103</v>
      </c>
      <c r="D36" s="3" t="s">
        <v>104</v>
      </c>
      <c r="E36" s="223">
        <f>58+29/60+3/3600</f>
        <v>58.484166666666667</v>
      </c>
      <c r="F36" s="223">
        <f>16+57/60+38/3600</f>
        <v>16.960555555555555</v>
      </c>
      <c r="G36" s="44">
        <f>G35-(I35-I36)</f>
        <v>37.799999999999955</v>
      </c>
      <c r="H36" s="44">
        <f>H35-(I35-I36)</f>
        <v>16.599999999999909</v>
      </c>
      <c r="I36" s="35">
        <v>0</v>
      </c>
      <c r="J36" s="35"/>
      <c r="K36" s="35">
        <v>0</v>
      </c>
      <c r="L36" s="35">
        <v>15</v>
      </c>
      <c r="M36" s="46">
        <v>0.25</v>
      </c>
      <c r="N36" s="212">
        <f t="shared" si="0"/>
        <v>0.47199999999999998</v>
      </c>
      <c r="O36" s="212">
        <f t="shared" si="1"/>
        <v>0.434</v>
      </c>
      <c r="P36" s="46">
        <f>ROUND(O36-M36,2)</f>
        <v>0.18</v>
      </c>
      <c r="Q36" s="12" t="s">
        <v>92</v>
      </c>
      <c r="R36" s="12">
        <v>1</v>
      </c>
      <c r="S36" s="214"/>
      <c r="T36" s="211">
        <v>0.47229903282347402</v>
      </c>
      <c r="U36" s="211">
        <v>0.434366267422228</v>
      </c>
      <c r="V36" s="210">
        <v>0.47599999999999998</v>
      </c>
      <c r="W36" s="210">
        <v>0.438</v>
      </c>
      <c r="X36" s="204">
        <v>0.47309400000000001</v>
      </c>
      <c r="Y36" s="204">
        <v>0.43453400000000003</v>
      </c>
    </row>
    <row r="37" spans="1:25" ht="12" customHeight="1" x14ac:dyDescent="0.2">
      <c r="A37" s="3" t="s">
        <v>191</v>
      </c>
      <c r="B37" s="3" t="s">
        <v>281</v>
      </c>
      <c r="C37" s="3" t="s">
        <v>192</v>
      </c>
      <c r="D37" s="3" t="s">
        <v>193</v>
      </c>
      <c r="E37" s="223">
        <f>57+44/60+54/3600</f>
        <v>57.748333333333335</v>
      </c>
      <c r="F37" s="223">
        <f>16+40/60+31/3600</f>
        <v>16.675277777777779</v>
      </c>
      <c r="G37" s="45"/>
      <c r="H37" s="45"/>
      <c r="I37" s="43">
        <f>-L37</f>
        <v>-14.4</v>
      </c>
      <c r="J37" s="46"/>
      <c r="K37" s="35">
        <v>0</v>
      </c>
      <c r="L37" s="44">
        <f>ROUND(0.369*L36+0.631*L42,1)</f>
        <v>14.4</v>
      </c>
      <c r="M37" s="206">
        <f>ROUND((0.369*M36+0.631*M42)*$O$37/(0.369*$O$36+0.631*$O$42),2)</f>
        <v>0.16</v>
      </c>
      <c r="N37" s="212">
        <f t="shared" si="0"/>
        <v>0.36399999999999999</v>
      </c>
      <c r="O37" s="212">
        <f t="shared" si="1"/>
        <v>0.33200000000000002</v>
      </c>
      <c r="P37" s="46"/>
      <c r="Q37" s="12" t="s">
        <v>425</v>
      </c>
      <c r="R37" s="12">
        <v>2</v>
      </c>
      <c r="S37" s="215"/>
      <c r="T37" s="211">
        <v>0.36432200039315998</v>
      </c>
      <c r="U37" s="211">
        <v>0.33174994157892501</v>
      </c>
      <c r="V37" s="210">
        <v>0.36499999999999999</v>
      </c>
      <c r="W37" s="210">
        <v>0.33200000000000002</v>
      </c>
      <c r="X37" s="204">
        <v>0.36367899999999997</v>
      </c>
      <c r="Y37" s="204">
        <v>0.33135100000000001</v>
      </c>
    </row>
    <row r="38" spans="1:25" ht="12" customHeight="1" x14ac:dyDescent="0.2">
      <c r="A38" s="3" t="s">
        <v>196</v>
      </c>
      <c r="B38" s="3" t="s">
        <v>195</v>
      </c>
      <c r="C38" s="3" t="s">
        <v>197</v>
      </c>
      <c r="D38" s="3" t="s">
        <v>198</v>
      </c>
      <c r="E38" s="223">
        <f>57+42/60+21/3600</f>
        <v>57.705833333333338</v>
      </c>
      <c r="F38" s="223">
        <f>18+48/60+36/3600</f>
        <v>18.810000000000002</v>
      </c>
      <c r="G38" s="45"/>
      <c r="H38" s="45"/>
      <c r="I38" s="43">
        <f>-L38</f>
        <v>-11.5</v>
      </c>
      <c r="J38" s="46"/>
      <c r="K38" s="10">
        <v>0</v>
      </c>
      <c r="L38" s="44">
        <f>ROUND(L39,1)</f>
        <v>11.5</v>
      </c>
      <c r="M38" s="206">
        <f>ROUND(M39,2)</f>
        <v>0.12</v>
      </c>
      <c r="N38" s="212">
        <f t="shared" si="0"/>
        <v>0.316</v>
      </c>
      <c r="O38" s="212">
        <f t="shared" si="1"/>
        <v>0.28499999999999998</v>
      </c>
      <c r="P38" s="46"/>
      <c r="Q38" s="12" t="s">
        <v>425</v>
      </c>
      <c r="R38" s="12">
        <v>3</v>
      </c>
      <c r="S38" s="215"/>
      <c r="T38" s="211">
        <v>0.31593022103149504</v>
      </c>
      <c r="U38" s="211">
        <v>0.28497915304193699</v>
      </c>
      <c r="V38" s="210">
        <v>0.32600000000000001</v>
      </c>
      <c r="W38" s="210">
        <v>0.29499999999999998</v>
      </c>
      <c r="X38" s="204">
        <v>0.31484699999999999</v>
      </c>
      <c r="Y38" s="204">
        <v>0.28460099999999999</v>
      </c>
    </row>
    <row r="39" spans="1:25" ht="12" customHeight="1" x14ac:dyDescent="0.2">
      <c r="A39" s="3" t="s">
        <v>194</v>
      </c>
      <c r="B39" s="3" t="s">
        <v>150</v>
      </c>
      <c r="C39" s="3" t="s">
        <v>53</v>
      </c>
      <c r="D39" s="3" t="s">
        <v>74</v>
      </c>
      <c r="E39" s="223">
        <f>57+38/60+21/3600</f>
        <v>57.639166666666668</v>
      </c>
      <c r="F39" s="223">
        <f>18+17/60+4/3600</f>
        <v>18.284444444444446</v>
      </c>
      <c r="G39" s="35">
        <v>811</v>
      </c>
      <c r="H39" s="35">
        <v>794.2</v>
      </c>
      <c r="I39" s="35">
        <v>786.8</v>
      </c>
      <c r="J39" s="44">
        <f>ROUND(J41+I39-I41,1)</f>
        <v>787.4</v>
      </c>
      <c r="K39" s="35">
        <v>478</v>
      </c>
      <c r="L39" s="35">
        <v>11.5</v>
      </c>
      <c r="M39" s="46">
        <v>0.12</v>
      </c>
      <c r="N39" s="212">
        <f t="shared" si="0"/>
        <v>0.31900000000000001</v>
      </c>
      <c r="O39" s="212">
        <f t="shared" si="1"/>
        <v>0.28799999999999998</v>
      </c>
      <c r="P39" s="46">
        <f>ROUND(O39-M39,2)</f>
        <v>0.17</v>
      </c>
      <c r="Q39" s="12" t="s">
        <v>9</v>
      </c>
      <c r="R39" s="12">
        <v>1</v>
      </c>
      <c r="S39" s="215"/>
      <c r="T39" s="211">
        <v>0.31859091134217898</v>
      </c>
      <c r="U39" s="211">
        <v>0.28781038766480899</v>
      </c>
      <c r="V39" s="210">
        <v>0.32500000000000001</v>
      </c>
      <c r="W39" s="210">
        <v>0.29399999999999998</v>
      </c>
      <c r="X39" s="204">
        <v>0.31936599999999998</v>
      </c>
      <c r="Y39" s="204">
        <v>0.28781000000000001</v>
      </c>
    </row>
    <row r="40" spans="1:25" ht="12" customHeight="1" x14ac:dyDescent="0.2">
      <c r="A40" s="3" t="s">
        <v>200</v>
      </c>
      <c r="B40" s="3" t="s">
        <v>240</v>
      </c>
      <c r="C40" s="3" t="s">
        <v>201</v>
      </c>
      <c r="D40" s="3" t="s">
        <v>202</v>
      </c>
      <c r="E40" s="223">
        <f>57+24/60+37/3600</f>
        <v>57.410277777777779</v>
      </c>
      <c r="F40" s="223">
        <f>16+40/60+33/3600</f>
        <v>16.675833333333333</v>
      </c>
      <c r="G40" s="35"/>
      <c r="H40" s="35"/>
      <c r="I40" s="43">
        <f>-L40</f>
        <v>-14.2</v>
      </c>
      <c r="J40" s="46"/>
      <c r="K40" s="10">
        <v>0</v>
      </c>
      <c r="L40" s="44">
        <f>ROUND(0.105*L36+0.895*L42,1)</f>
        <v>14.2</v>
      </c>
      <c r="M40" s="206">
        <f>ROUND((0.105*M36+0.895*M42)*$O$40/(0.105*$O$36+0.895*$O$42),2)</f>
        <v>0.12</v>
      </c>
      <c r="N40" s="212">
        <f t="shared" si="0"/>
        <v>0.314</v>
      </c>
      <c r="O40" s="212">
        <f t="shared" si="1"/>
        <v>0.28399999999999997</v>
      </c>
      <c r="P40" s="46"/>
      <c r="Q40" s="12" t="s">
        <v>426</v>
      </c>
      <c r="R40" s="12">
        <v>2</v>
      </c>
      <c r="S40" s="215"/>
      <c r="T40" s="211">
        <v>0.314499264415527</v>
      </c>
      <c r="U40" s="211">
        <v>0.28436927057925504</v>
      </c>
      <c r="V40" s="210">
        <v>0.316</v>
      </c>
      <c r="W40" s="210">
        <v>0.28499999999999998</v>
      </c>
      <c r="X40" s="204">
        <v>0.31543399999999999</v>
      </c>
      <c r="Y40" s="204">
        <v>0.28531899999999999</v>
      </c>
    </row>
    <row r="41" spans="1:25" ht="12" customHeight="1" x14ac:dyDescent="0.2">
      <c r="A41" s="3" t="s">
        <v>199</v>
      </c>
      <c r="B41" s="3" t="s">
        <v>153</v>
      </c>
      <c r="C41" s="3" t="s">
        <v>54</v>
      </c>
      <c r="D41" s="3" t="s">
        <v>75</v>
      </c>
      <c r="E41" s="223">
        <f>57+21/60+58/3600</f>
        <v>57.36611111111111</v>
      </c>
      <c r="F41" s="223">
        <f>17+5/60+50/3600</f>
        <v>17.097222222222221</v>
      </c>
      <c r="G41" s="35">
        <v>663.1</v>
      </c>
      <c r="H41" s="35">
        <v>662.5</v>
      </c>
      <c r="I41" s="35">
        <v>647.20000000000005</v>
      </c>
      <c r="J41" s="35">
        <v>647.79999999999995</v>
      </c>
      <c r="K41" s="35">
        <v>-270</v>
      </c>
      <c r="L41" s="35">
        <v>14.1</v>
      </c>
      <c r="M41" s="46">
        <v>0.12</v>
      </c>
      <c r="N41" s="212">
        <f t="shared" si="0"/>
        <v>0.30299999999999999</v>
      </c>
      <c r="O41" s="212">
        <f t="shared" si="1"/>
        <v>0.27300000000000002</v>
      </c>
      <c r="P41" s="46">
        <f>ROUND(O41-M41,2)</f>
        <v>0.15</v>
      </c>
      <c r="Q41" s="12" t="s">
        <v>17</v>
      </c>
      <c r="R41" s="12">
        <v>1</v>
      </c>
      <c r="S41" s="215"/>
      <c r="T41" s="211">
        <v>0.30283372344136605</v>
      </c>
      <c r="U41" s="211">
        <v>0.27324815824294102</v>
      </c>
      <c r="V41" s="210">
        <v>0.311</v>
      </c>
      <c r="W41" s="210">
        <v>0.28100000000000003</v>
      </c>
      <c r="X41" s="204">
        <v>0.30298700000000001</v>
      </c>
      <c r="Y41" s="204">
        <v>0.27324199999999998</v>
      </c>
    </row>
    <row r="42" spans="1:25" ht="12" customHeight="1" x14ac:dyDescent="0.2">
      <c r="A42" s="3" t="s">
        <v>204</v>
      </c>
      <c r="B42" s="3" t="s">
        <v>154</v>
      </c>
      <c r="C42" s="3" t="s">
        <v>55</v>
      </c>
      <c r="D42" s="3" t="s">
        <v>76</v>
      </c>
      <c r="E42" s="223">
        <f>57+16/60+30/3600</f>
        <v>57.274999999999999</v>
      </c>
      <c r="F42" s="223">
        <f>16+28/60+41/3600</f>
        <v>16.478055555555553</v>
      </c>
      <c r="G42" s="35">
        <v>686</v>
      </c>
      <c r="H42" s="35">
        <v>684.8</v>
      </c>
      <c r="I42" s="35">
        <v>669.5</v>
      </c>
      <c r="J42" s="35">
        <v>670.1</v>
      </c>
      <c r="K42" s="35">
        <v>-360.3</v>
      </c>
      <c r="L42" s="35">
        <v>14.1</v>
      </c>
      <c r="M42" s="46">
        <v>0.1</v>
      </c>
      <c r="N42" s="212">
        <f t="shared" si="0"/>
        <v>0.29699999999999999</v>
      </c>
      <c r="O42" s="212">
        <f t="shared" si="1"/>
        <v>0.26800000000000002</v>
      </c>
      <c r="P42" s="46">
        <f>ROUND(O42-M42,2)</f>
        <v>0.17</v>
      </c>
      <c r="Q42" s="12" t="s">
        <v>18</v>
      </c>
      <c r="R42" s="12">
        <v>1</v>
      </c>
      <c r="S42" s="215"/>
      <c r="T42" s="211">
        <v>0.29714618878124899</v>
      </c>
      <c r="U42" s="211">
        <v>0.26787567363771403</v>
      </c>
      <c r="V42" s="210">
        <v>0.307</v>
      </c>
      <c r="W42" s="210">
        <v>0.27700000000000002</v>
      </c>
      <c r="X42" s="204">
        <v>0.29522999999999999</v>
      </c>
      <c r="Y42" s="204">
        <v>0.266538</v>
      </c>
    </row>
    <row r="43" spans="1:25" ht="12" customHeight="1" x14ac:dyDescent="0.2">
      <c r="A43" s="3" t="s">
        <v>206</v>
      </c>
      <c r="B43" s="3" t="s">
        <v>203</v>
      </c>
      <c r="C43" s="3" t="s">
        <v>207</v>
      </c>
      <c r="D43" s="3" t="s">
        <v>208</v>
      </c>
      <c r="E43" s="223">
        <f>56+39/60+32/3600</f>
        <v>56.658888888888889</v>
      </c>
      <c r="F43" s="223">
        <f>16+22/60+42/3600</f>
        <v>16.378333333333334</v>
      </c>
      <c r="G43" s="35"/>
      <c r="H43" s="35"/>
      <c r="I43" s="43">
        <f>-L43</f>
        <v>-13.8</v>
      </c>
      <c r="J43" s="46"/>
      <c r="K43" s="35">
        <v>0</v>
      </c>
      <c r="L43" s="44">
        <f>ROUND(0.558*L42+0.442*L44,1)</f>
        <v>13.8</v>
      </c>
      <c r="M43" s="206">
        <f>ROUND((0.558*M42+0.442*M44)*$O$43/(0.558*$O$42+0.442*$O$44),2)</f>
        <v>0.06</v>
      </c>
      <c r="N43" s="212">
        <f t="shared" si="0"/>
        <v>0.217</v>
      </c>
      <c r="O43" s="212">
        <f t="shared" si="1"/>
        <v>0.192</v>
      </c>
      <c r="P43" s="46"/>
      <c r="Q43" s="12" t="s">
        <v>425</v>
      </c>
      <c r="R43" s="12">
        <v>2</v>
      </c>
      <c r="S43" s="215"/>
      <c r="T43" s="211">
        <v>0.21671599242217501</v>
      </c>
      <c r="U43" s="211">
        <v>0.19170504803118002</v>
      </c>
      <c r="V43" s="210">
        <v>0.218</v>
      </c>
      <c r="W43" s="210">
        <v>0.193</v>
      </c>
      <c r="X43" s="106"/>
      <c r="Y43" s="106"/>
    </row>
    <row r="44" spans="1:25" ht="12" customHeight="1" x14ac:dyDescent="0.2">
      <c r="A44" s="3" t="s">
        <v>205</v>
      </c>
      <c r="B44" s="3" t="s">
        <v>155</v>
      </c>
      <c r="C44" s="3" t="s">
        <v>56</v>
      </c>
      <c r="D44" s="3" t="s">
        <v>77</v>
      </c>
      <c r="E44" s="223">
        <f>56+6/60+19/3600</f>
        <v>56.105277777777779</v>
      </c>
      <c r="F44" s="223">
        <f>15+35/60+22/3600</f>
        <v>15.589444444444444</v>
      </c>
      <c r="G44" s="35">
        <v>898.6</v>
      </c>
      <c r="H44" s="35">
        <v>902.4</v>
      </c>
      <c r="I44" s="35">
        <v>889.9</v>
      </c>
      <c r="J44" s="35">
        <v>890.6</v>
      </c>
      <c r="K44" s="35">
        <v>-1408.8</v>
      </c>
      <c r="L44" s="35">
        <v>13.5</v>
      </c>
      <c r="M44" s="46">
        <v>0.01</v>
      </c>
      <c r="N44" s="212">
        <f t="shared" si="0"/>
        <v>0.157</v>
      </c>
      <c r="O44" s="212">
        <f t="shared" si="1"/>
        <v>0.13600000000000001</v>
      </c>
      <c r="P44" s="46">
        <f>ROUND(O44-M44,2)</f>
        <v>0.13</v>
      </c>
      <c r="Q44" s="12" t="s">
        <v>19</v>
      </c>
      <c r="R44" s="12">
        <v>1</v>
      </c>
      <c r="S44" s="215"/>
      <c r="T44" s="211">
        <v>0.157404868357367</v>
      </c>
      <c r="U44" s="211">
        <v>0.13595598509311599</v>
      </c>
      <c r="V44" s="210">
        <v>0.16400000000000001</v>
      </c>
      <c r="W44" s="210">
        <v>0.14299999999999999</v>
      </c>
      <c r="X44" s="204">
        <v>0.15779899999999999</v>
      </c>
      <c r="Y44" s="204">
        <v>0.136597</v>
      </c>
    </row>
    <row r="45" spans="1:25" ht="12" customHeight="1" x14ac:dyDescent="0.2">
      <c r="A45" s="3" t="s">
        <v>244</v>
      </c>
      <c r="B45" s="3" t="s">
        <v>243</v>
      </c>
      <c r="C45" s="3" t="s">
        <v>245</v>
      </c>
      <c r="D45" s="3" t="s">
        <v>246</v>
      </c>
      <c r="E45" s="223">
        <f>56+9/60+15/3600</f>
        <v>56.154166666666669</v>
      </c>
      <c r="F45" s="223">
        <f>14+49/60+17/3600</f>
        <v>14.821388888888889</v>
      </c>
      <c r="G45" s="45"/>
      <c r="H45" s="45"/>
      <c r="I45" s="43">
        <f>-L45</f>
        <v>-13.6</v>
      </c>
      <c r="J45" s="46"/>
      <c r="K45" s="35">
        <v>0</v>
      </c>
      <c r="L45" s="44">
        <f>ROUND(0.819*L44+0.181*L47,1)</f>
        <v>13.6</v>
      </c>
      <c r="M45" s="206">
        <f>ROUND((0.819*M44+0.181*M47)*$O$45/(0.819*$O$44+0.181*$O$47),2)</f>
        <v>-0.01</v>
      </c>
      <c r="N45" s="212">
        <f t="shared" si="0"/>
        <v>0.16600000000000001</v>
      </c>
      <c r="O45" s="212">
        <f t="shared" si="1"/>
        <v>0.14399999999999999</v>
      </c>
      <c r="P45" s="46"/>
      <c r="Q45" s="12" t="s">
        <v>425</v>
      </c>
      <c r="R45" s="12">
        <v>2</v>
      </c>
      <c r="S45" s="213"/>
      <c r="T45" s="211">
        <v>0.165813013180826</v>
      </c>
      <c r="U45" s="211">
        <v>0.14401672991720801</v>
      </c>
      <c r="V45" s="210">
        <v>0.16800000000000001</v>
      </c>
      <c r="W45" s="210">
        <v>0.14599999999999999</v>
      </c>
      <c r="X45" s="204">
        <v>0.16661600000000001</v>
      </c>
      <c r="Y45" s="204">
        <v>0.144674</v>
      </c>
    </row>
    <row r="46" spans="1:25" ht="12" customHeight="1" x14ac:dyDescent="0.2">
      <c r="A46" s="3" t="s">
        <v>223</v>
      </c>
      <c r="B46" s="3" t="s">
        <v>385</v>
      </c>
      <c r="C46" s="3" t="s">
        <v>95</v>
      </c>
      <c r="D46" s="3" t="s">
        <v>96</v>
      </c>
      <c r="E46" s="223">
        <f>55+55/60+42/3600</f>
        <v>55.928333333333327</v>
      </c>
      <c r="F46" s="223">
        <f>14+19/60+43/3600</f>
        <v>14.32861111111111</v>
      </c>
      <c r="G46" s="35"/>
      <c r="H46" s="35"/>
      <c r="I46" s="35">
        <v>0</v>
      </c>
      <c r="J46" s="35"/>
      <c r="K46" s="35">
        <v>0</v>
      </c>
      <c r="L46" s="44">
        <f>ROUND(0.415*L44+0.585*L47,1)</f>
        <v>14</v>
      </c>
      <c r="M46" s="206">
        <f>ROUND((0.415*M44+0.585*M47)*$O$46/(0.415*$O$44+0.585*$O$47),2)</f>
        <v>-0.05</v>
      </c>
      <c r="N46" s="212">
        <f t="shared" si="0"/>
        <v>0.14299999999999999</v>
      </c>
      <c r="O46" s="212">
        <f t="shared" si="1"/>
        <v>0.123</v>
      </c>
      <c r="P46" s="46">
        <f>ROUND(O46-M46,2)</f>
        <v>0.17</v>
      </c>
      <c r="Q46" s="12" t="s">
        <v>93</v>
      </c>
      <c r="R46" s="12">
        <v>4</v>
      </c>
      <c r="S46" s="213"/>
      <c r="T46" s="211">
        <v>0.143486637648291</v>
      </c>
      <c r="U46" s="211">
        <v>0.123242675452962</v>
      </c>
      <c r="V46" s="210">
        <v>0.152</v>
      </c>
      <c r="W46" s="210">
        <v>0.13100000000000001</v>
      </c>
      <c r="X46" s="106"/>
      <c r="Y46" s="106"/>
    </row>
    <row r="47" spans="1:25" ht="12" customHeight="1" x14ac:dyDescent="0.2">
      <c r="A47" s="3" t="s">
        <v>224</v>
      </c>
      <c r="B47" s="3" t="s">
        <v>156</v>
      </c>
      <c r="C47" s="3" t="s">
        <v>57</v>
      </c>
      <c r="D47" s="3" t="s">
        <v>78</v>
      </c>
      <c r="E47" s="223">
        <f>55+33/60+27/3600</f>
        <v>55.557499999999997</v>
      </c>
      <c r="F47" s="223">
        <f>14+21/60+28/3600</f>
        <v>14.357777777777777</v>
      </c>
      <c r="G47" s="50">
        <f>ROUND(G48+H47-H48,0)</f>
        <v>768</v>
      </c>
      <c r="H47" s="35">
        <v>765.5</v>
      </c>
      <c r="I47" s="35">
        <v>757.8</v>
      </c>
      <c r="J47" s="35">
        <v>758.4</v>
      </c>
      <c r="K47" s="35">
        <v>432</v>
      </c>
      <c r="L47" s="35">
        <v>14.3</v>
      </c>
      <c r="M47" s="46">
        <v>-0.08</v>
      </c>
      <c r="N47" s="212">
        <f t="shared" si="0"/>
        <v>0.107</v>
      </c>
      <c r="O47" s="212">
        <f t="shared" si="1"/>
        <v>8.8999999999999996E-2</v>
      </c>
      <c r="P47" s="46">
        <f>ROUND(O47-M47,2)</f>
        <v>0.17</v>
      </c>
      <c r="Q47" s="12" t="s">
        <v>11</v>
      </c>
      <c r="R47" s="12">
        <v>1</v>
      </c>
      <c r="S47" s="213"/>
      <c r="T47" s="211">
        <v>0.10669602376857</v>
      </c>
      <c r="U47" s="211">
        <v>8.8831807768590398E-2</v>
      </c>
      <c r="V47" s="210">
        <v>0.109</v>
      </c>
      <c r="W47" s="210">
        <v>9.0999999999999998E-2</v>
      </c>
      <c r="X47" s="204">
        <v>0.10702100000000001</v>
      </c>
      <c r="Y47" s="204">
        <v>8.9479000000000003E-2</v>
      </c>
    </row>
    <row r="48" spans="1:25" ht="12" customHeight="1" x14ac:dyDescent="0.2">
      <c r="A48" s="3" t="s">
        <v>225</v>
      </c>
      <c r="B48" s="3" t="s">
        <v>380</v>
      </c>
      <c r="C48" s="3" t="s">
        <v>58</v>
      </c>
      <c r="D48" s="3" t="s">
        <v>123</v>
      </c>
      <c r="E48" s="223">
        <f>55+25/60+0/3600</f>
        <v>55.416666666666664</v>
      </c>
      <c r="F48" s="223">
        <f>13+49/60+0/3600</f>
        <v>13.816666666666666</v>
      </c>
      <c r="G48" s="44">
        <v>601</v>
      </c>
      <c r="H48" s="44">
        <v>599</v>
      </c>
      <c r="I48" s="21">
        <f>ROUND(I50+G48-G50,0)</f>
        <v>590</v>
      </c>
      <c r="J48" s="44"/>
      <c r="K48" s="35">
        <v>0</v>
      </c>
      <c r="L48" s="44">
        <f>ROUND(0.539*L47+0.461*L50,1)</f>
        <v>14.3</v>
      </c>
      <c r="M48" s="206">
        <f>ROUND((0.539*M47+0.461*M50)*$O$48/(0.539*$O$47+0.461*$O$50),2)+0.01</f>
        <v>-7.0000000000000007E-2</v>
      </c>
      <c r="N48" s="212">
        <f t="shared" si="0"/>
        <v>9.6000000000000002E-2</v>
      </c>
      <c r="O48" s="212">
        <f t="shared" si="1"/>
        <v>7.9000000000000001E-2</v>
      </c>
      <c r="P48" s="46">
        <f>ROUND(O48-M48,2)</f>
        <v>0.15</v>
      </c>
      <c r="Q48" s="12" t="s">
        <v>36</v>
      </c>
      <c r="R48" s="12">
        <v>4</v>
      </c>
      <c r="S48" s="213"/>
      <c r="T48" s="211">
        <v>9.5534010541672904E-2</v>
      </c>
      <c r="U48" s="211">
        <v>7.8710789234629597E-2</v>
      </c>
      <c r="V48" s="210">
        <v>0.104</v>
      </c>
      <c r="W48" s="210">
        <v>8.5999999999999993E-2</v>
      </c>
      <c r="X48" s="204">
        <v>9.5682000000000003E-2</v>
      </c>
      <c r="Y48" s="204">
        <v>7.9156000000000004E-2</v>
      </c>
    </row>
    <row r="49" spans="1:25" ht="12" customHeight="1" x14ac:dyDescent="0.2">
      <c r="A49" s="3" t="s">
        <v>355</v>
      </c>
      <c r="B49" s="3" t="s">
        <v>400</v>
      </c>
      <c r="C49" s="3" t="s">
        <v>58</v>
      </c>
      <c r="D49" s="3" t="s">
        <v>123</v>
      </c>
      <c r="E49" s="223">
        <f>55+25/60+0/3600</f>
        <v>55.416666666666664</v>
      </c>
      <c r="F49" s="223">
        <f>13+49/60+0/3600</f>
        <v>13.816666666666666</v>
      </c>
      <c r="G49" s="35"/>
      <c r="H49" s="35"/>
      <c r="I49" s="43">
        <f>-L49</f>
        <v>-14.3</v>
      </c>
      <c r="J49" s="35"/>
      <c r="K49" s="35">
        <v>0</v>
      </c>
      <c r="L49" s="44">
        <f>ROUND(0.539*L47+0.461*L50,1)</f>
        <v>14.3</v>
      </c>
      <c r="M49" s="206">
        <f>ROUND((0.539*M47+0.461*M50)*$O$48/(0.539*$O$47+0.461*$O$50),2)+0.01</f>
        <v>-7.0000000000000007E-2</v>
      </c>
      <c r="N49" s="212">
        <f t="shared" si="0"/>
        <v>9.6000000000000002E-2</v>
      </c>
      <c r="O49" s="212">
        <f t="shared" si="1"/>
        <v>7.9000000000000001E-2</v>
      </c>
      <c r="P49" s="46"/>
      <c r="Q49" s="12" t="s">
        <v>92</v>
      </c>
      <c r="R49" s="12">
        <v>1</v>
      </c>
      <c r="S49" s="213"/>
      <c r="T49" s="211">
        <v>9.5534010541672904E-2</v>
      </c>
      <c r="U49" s="211">
        <v>7.8710789234629597E-2</v>
      </c>
      <c r="V49" s="210">
        <v>0.104</v>
      </c>
      <c r="W49" s="210">
        <v>8.5999999999999993E-2</v>
      </c>
      <c r="X49" s="204">
        <v>9.5682000000000003E-2</v>
      </c>
      <c r="Y49" s="204">
        <v>7.9156000000000004E-2</v>
      </c>
    </row>
    <row r="50" spans="1:25" ht="12" customHeight="1" x14ac:dyDescent="0.2">
      <c r="A50" s="3" t="s">
        <v>226</v>
      </c>
      <c r="B50" s="3" t="s">
        <v>157</v>
      </c>
      <c r="C50" s="3" t="s">
        <v>58</v>
      </c>
      <c r="D50" s="25" t="s">
        <v>79</v>
      </c>
      <c r="E50" s="223">
        <f>55+25/60+0/3600</f>
        <v>55.416666666666664</v>
      </c>
      <c r="F50" s="223">
        <f>12+49/60+47/3600</f>
        <v>12.829722222222221</v>
      </c>
      <c r="G50" s="49">
        <v>1843</v>
      </c>
      <c r="H50" s="49">
        <v>1839</v>
      </c>
      <c r="I50" s="35">
        <v>1831.9</v>
      </c>
      <c r="J50" s="44">
        <f>ROUND(J51+I50-I51,1)</f>
        <v>1832.6</v>
      </c>
      <c r="K50" s="35">
        <v>836.5</v>
      </c>
      <c r="L50" s="35">
        <v>14.2</v>
      </c>
      <c r="M50" s="46">
        <v>-0.08</v>
      </c>
      <c r="N50" s="212">
        <f t="shared" si="0"/>
        <v>9.2999999999999999E-2</v>
      </c>
      <c r="O50" s="212">
        <f t="shared" si="1"/>
        <v>7.6999999999999999E-2</v>
      </c>
      <c r="P50" s="46">
        <f>ROUND(O50-M50,2)</f>
        <v>0.16</v>
      </c>
      <c r="Q50" s="12" t="s">
        <v>22</v>
      </c>
      <c r="R50" s="12">
        <v>1</v>
      </c>
      <c r="T50" s="211">
        <v>9.3238944283140404E-2</v>
      </c>
      <c r="U50" s="211">
        <v>7.6921146026916604E-2</v>
      </c>
      <c r="V50" s="106">
        <v>9.9000000000000005E-2</v>
      </c>
      <c r="W50" s="106">
        <v>8.2000000000000003E-2</v>
      </c>
      <c r="X50" s="204">
        <v>9.3271000000000007E-2</v>
      </c>
      <c r="Y50" s="204">
        <v>7.6942999999999998E-2</v>
      </c>
    </row>
    <row r="51" spans="1:25" ht="12" customHeight="1" x14ac:dyDescent="0.2">
      <c r="A51" s="3" t="s">
        <v>227</v>
      </c>
      <c r="B51" s="3" t="s">
        <v>158</v>
      </c>
      <c r="C51" s="3" t="s">
        <v>59</v>
      </c>
      <c r="D51" s="3" t="s">
        <v>80</v>
      </c>
      <c r="E51" s="223">
        <f>55+31/60+20/3600</f>
        <v>55.522222222222219</v>
      </c>
      <c r="F51" s="223">
        <f>12+53/60+37/3600</f>
        <v>12.893611111111111</v>
      </c>
      <c r="G51" s="35">
        <v>799.2</v>
      </c>
      <c r="H51" s="35">
        <v>796.7</v>
      </c>
      <c r="I51" s="35">
        <v>789.1</v>
      </c>
      <c r="J51" s="35">
        <v>789.8</v>
      </c>
      <c r="K51" s="35">
        <v>513.6</v>
      </c>
      <c r="L51" s="35">
        <v>11.8</v>
      </c>
      <c r="M51" s="46">
        <v>-0.06</v>
      </c>
      <c r="N51" s="212">
        <f t="shared" si="0"/>
        <v>0.10299999999999999</v>
      </c>
      <c r="O51" s="212">
        <f t="shared" si="1"/>
        <v>8.5999999999999993E-2</v>
      </c>
      <c r="P51" s="46">
        <f>ROUND(O51-M51,2)</f>
        <v>0.15</v>
      </c>
      <c r="Q51" s="12" t="s">
        <v>21</v>
      </c>
      <c r="R51" s="12">
        <v>1</v>
      </c>
      <c r="T51" s="211">
        <v>0.10311309485291001</v>
      </c>
      <c r="U51" s="211">
        <v>8.6122769792711898E-2</v>
      </c>
      <c r="V51" s="106">
        <v>0.108</v>
      </c>
      <c r="W51" s="106">
        <v>9.0999999999999998E-2</v>
      </c>
      <c r="X51" s="204">
        <v>0.10273699999999999</v>
      </c>
      <c r="Y51" s="204">
        <v>8.6209000000000008E-2</v>
      </c>
    </row>
    <row r="52" spans="1:25" ht="12" customHeight="1" x14ac:dyDescent="0.2">
      <c r="A52" s="3" t="s">
        <v>249</v>
      </c>
      <c r="B52" s="3" t="s">
        <v>247</v>
      </c>
      <c r="C52" s="3" t="s">
        <v>251</v>
      </c>
      <c r="D52" s="3" t="s">
        <v>252</v>
      </c>
      <c r="E52" s="223">
        <f>55+33/60+40/3600</f>
        <v>55.56111111111111</v>
      </c>
      <c r="F52" s="223">
        <f>12+48/60+34/3600</f>
        <v>12.809444444444445</v>
      </c>
      <c r="G52" s="45"/>
      <c r="H52" s="45"/>
      <c r="I52" s="43">
        <f>-L52</f>
        <v>-11.7</v>
      </c>
      <c r="J52" s="46"/>
      <c r="K52" s="35">
        <v>0</v>
      </c>
      <c r="L52" s="44">
        <f>ROUND(0.918*L51+0.082*L56,1)</f>
        <v>11.7</v>
      </c>
      <c r="M52" s="206">
        <f>ROUND((0.918*M51+0.082*M56)*$O$52/(0.918*$O$51+0.082*$O$56),2)</f>
        <v>-0.06</v>
      </c>
      <c r="N52" s="212">
        <f t="shared" si="0"/>
        <v>0.106</v>
      </c>
      <c r="O52" s="212">
        <f t="shared" si="1"/>
        <v>8.8999999999999996E-2</v>
      </c>
      <c r="P52" s="46"/>
      <c r="Q52" s="12" t="s">
        <v>425</v>
      </c>
      <c r="R52" s="12">
        <v>3</v>
      </c>
      <c r="T52" s="211">
        <v>0.105878622476172</v>
      </c>
      <c r="U52" s="211">
        <v>8.870887031304131E-2</v>
      </c>
      <c r="V52" s="106">
        <v>0.106</v>
      </c>
      <c r="W52" s="106">
        <v>8.8999999999999996E-2</v>
      </c>
      <c r="X52" s="106"/>
      <c r="Y52" s="106"/>
    </row>
    <row r="53" spans="1:25" ht="12" customHeight="1" x14ac:dyDescent="0.2">
      <c r="A53" s="3" t="s">
        <v>250</v>
      </c>
      <c r="B53" s="3" t="s">
        <v>248</v>
      </c>
      <c r="C53" s="3" t="s">
        <v>253</v>
      </c>
      <c r="D53" s="3" t="s">
        <v>254</v>
      </c>
      <c r="E53" s="223">
        <f>55+35/60+22/3600</f>
        <v>55.589444444444446</v>
      </c>
      <c r="F53" s="223">
        <f>12+50/60+40/3600</f>
        <v>12.844444444444445</v>
      </c>
      <c r="G53" s="45"/>
      <c r="H53" s="45"/>
      <c r="I53" s="43">
        <f>-L53</f>
        <v>-11.6</v>
      </c>
      <c r="J53" s="46"/>
      <c r="K53" s="10">
        <v>0</v>
      </c>
      <c r="L53" s="44">
        <f>ROUND(0.764*L51+0.236*L56,1)</f>
        <v>11.6</v>
      </c>
      <c r="M53" s="206">
        <f>ROUND((0.764*M51+0.236*M56)*$O$53/(0.764*$O$51+0.236*$O$56),2)</f>
        <v>-0.06</v>
      </c>
      <c r="N53" s="212">
        <f t="shared" si="0"/>
        <v>0.109</v>
      </c>
      <c r="O53" s="212">
        <f t="shared" si="1"/>
        <v>9.0999999999999998E-2</v>
      </c>
      <c r="P53" s="46"/>
      <c r="Q53" s="12" t="s">
        <v>425</v>
      </c>
      <c r="R53" s="12">
        <v>3</v>
      </c>
      <c r="T53" s="211">
        <v>0.10874196833995201</v>
      </c>
      <c r="U53" s="211">
        <v>9.1377534722432402E-2</v>
      </c>
      <c r="V53" s="106">
        <v>0.115</v>
      </c>
      <c r="W53" s="106">
        <v>9.8000000000000004E-2</v>
      </c>
      <c r="X53" s="106"/>
      <c r="Y53" s="106"/>
    </row>
    <row r="54" spans="1:25" ht="12" customHeight="1" x14ac:dyDescent="0.2">
      <c r="A54" s="3" t="s">
        <v>256</v>
      </c>
      <c r="B54" s="3" t="s">
        <v>255</v>
      </c>
      <c r="C54" s="3" t="s">
        <v>257</v>
      </c>
      <c r="D54" s="3" t="s">
        <v>258</v>
      </c>
      <c r="E54" s="223">
        <f>55+36/60+49/3600</f>
        <v>55.613611111111112</v>
      </c>
      <c r="F54" s="223">
        <f>12+59/60+51/3600</f>
        <v>12.997499999999999</v>
      </c>
      <c r="G54" s="45"/>
      <c r="H54" s="45"/>
      <c r="I54" s="43">
        <f>-L54</f>
        <v>-11.4</v>
      </c>
      <c r="J54" s="46"/>
      <c r="K54" s="10">
        <v>0</v>
      </c>
      <c r="L54" s="44">
        <f>ROUND(0.473*L51+0.527*L56,1)</f>
        <v>11.4</v>
      </c>
      <c r="M54" s="206">
        <f>ROUND((0.473*M51+0.527*M56)*$O$54/(0.473*$O$51+0.527*$O$56),2)</f>
        <v>-0.06</v>
      </c>
      <c r="N54" s="212">
        <f t="shared" si="0"/>
        <v>0.112</v>
      </c>
      <c r="O54" s="212">
        <f t="shared" si="1"/>
        <v>9.4E-2</v>
      </c>
      <c r="P54" s="46"/>
      <c r="Q54" s="12" t="s">
        <v>425</v>
      </c>
      <c r="R54" s="12">
        <v>2</v>
      </c>
      <c r="T54" s="211">
        <v>0.11209621110373301</v>
      </c>
      <c r="U54" s="211">
        <v>9.4482623429375412E-2</v>
      </c>
      <c r="V54" s="106">
        <v>0.115</v>
      </c>
      <c r="W54" s="106">
        <v>9.8000000000000004E-2</v>
      </c>
      <c r="X54" s="204">
        <v>0.11283700000000001</v>
      </c>
      <c r="Y54" s="204">
        <v>9.5605999999999997E-2</v>
      </c>
    </row>
    <row r="55" spans="1:25" ht="12" customHeight="1" x14ac:dyDescent="0.2">
      <c r="A55" s="3" t="s">
        <v>222</v>
      </c>
      <c r="B55" s="3" t="s">
        <v>381</v>
      </c>
      <c r="C55" s="3" t="s">
        <v>125</v>
      </c>
      <c r="D55" s="3" t="s">
        <v>124</v>
      </c>
      <c r="E55" s="223">
        <f>55+37/60+0/3600</f>
        <v>55.616666666666667</v>
      </c>
      <c r="F55" s="223">
        <f>13+0/60+0/3600</f>
        <v>13</v>
      </c>
      <c r="G55" s="49">
        <v>511</v>
      </c>
      <c r="H55" s="49">
        <v>509</v>
      </c>
      <c r="I55" s="49">
        <f>ROUND(I51+G55-G51,0)</f>
        <v>501</v>
      </c>
      <c r="J55" s="35"/>
      <c r="K55" s="35">
        <v>0</v>
      </c>
      <c r="L55" s="44">
        <f>ROUND(0.496*L51+0.504*L56,1)</f>
        <v>11.4</v>
      </c>
      <c r="M55" s="206">
        <f>ROUND((0.496*M51+0.504*M56)*$O$55/(0.496*$O$51+0.504*$O$56),2)</f>
        <v>-0.06</v>
      </c>
      <c r="N55" s="212">
        <f t="shared" si="0"/>
        <v>0.112</v>
      </c>
      <c r="O55" s="212">
        <f t="shared" si="1"/>
        <v>9.5000000000000001E-2</v>
      </c>
      <c r="P55" s="46">
        <f>ROUND(O55-M55,2)</f>
        <v>0.16</v>
      </c>
      <c r="Q55" s="12" t="s">
        <v>37</v>
      </c>
      <c r="R55" s="12">
        <v>4</v>
      </c>
      <c r="T55" s="211">
        <v>0.11239095108308801</v>
      </c>
      <c r="U55" s="211">
        <v>9.4756741523948196E-2</v>
      </c>
      <c r="V55" s="106">
        <v>0.11700000000000001</v>
      </c>
      <c r="W55" s="106">
        <v>9.9000000000000005E-2</v>
      </c>
      <c r="X55" s="204">
        <v>0.11287700000000001</v>
      </c>
      <c r="Y55" s="204">
        <v>9.4477999999999993E-2</v>
      </c>
    </row>
    <row r="56" spans="1:25" ht="12" customHeight="1" x14ac:dyDescent="0.2">
      <c r="A56" s="3" t="s">
        <v>228</v>
      </c>
      <c r="B56" s="3" t="s">
        <v>159</v>
      </c>
      <c r="C56" s="3" t="s">
        <v>60</v>
      </c>
      <c r="D56" s="3" t="s">
        <v>81</v>
      </c>
      <c r="E56" s="223">
        <f>55+45/60+23/3600</f>
        <v>55.756388888888885</v>
      </c>
      <c r="F56" s="223">
        <f>12+54/60+12/3600</f>
        <v>12.903333333333334</v>
      </c>
      <c r="G56" s="21">
        <f>ROUND(G58+I56-I58,0)</f>
        <v>850</v>
      </c>
      <c r="H56" s="21">
        <f>ROUND(H58-I58+I56,0)</f>
        <v>848</v>
      </c>
      <c r="I56" s="35">
        <v>839.9</v>
      </c>
      <c r="J56" s="44">
        <f>ROUND(J58+I56-I58,1)</f>
        <v>839.9</v>
      </c>
      <c r="K56" s="35">
        <v>654.20000000000005</v>
      </c>
      <c r="L56" s="35">
        <v>11</v>
      </c>
      <c r="M56" s="46">
        <v>-0.06</v>
      </c>
      <c r="N56" s="212">
        <f t="shared" si="0"/>
        <v>0.123</v>
      </c>
      <c r="O56" s="212">
        <f t="shared" si="1"/>
        <v>0.105</v>
      </c>
      <c r="P56" s="46">
        <f>ROUND(O56-M56,2)</f>
        <v>0.17</v>
      </c>
      <c r="Q56" s="12" t="s">
        <v>23</v>
      </c>
      <c r="R56" s="12">
        <v>1</v>
      </c>
      <c r="T56" s="211">
        <v>0.123474809053556</v>
      </c>
      <c r="U56" s="211">
        <v>0.10504913987468101</v>
      </c>
      <c r="V56" s="106">
        <v>0.128</v>
      </c>
      <c r="W56" s="106">
        <v>0.11</v>
      </c>
      <c r="X56" s="204">
        <v>0.123492</v>
      </c>
      <c r="Y56" s="204">
        <v>0.104683</v>
      </c>
    </row>
    <row r="57" spans="1:25" ht="12" customHeight="1" x14ac:dyDescent="0.2">
      <c r="A57" s="3" t="s">
        <v>262</v>
      </c>
      <c r="B57" s="3" t="s">
        <v>259</v>
      </c>
      <c r="C57" s="3" t="s">
        <v>260</v>
      </c>
      <c r="D57" s="3" t="s">
        <v>261</v>
      </c>
      <c r="E57" s="223">
        <f>56+2/60+41/3600</f>
        <v>56.044722222222219</v>
      </c>
      <c r="F57" s="223">
        <f>12+41/60+14/3600</f>
        <v>12.687222222222223</v>
      </c>
      <c r="G57" s="21"/>
      <c r="H57" s="21"/>
      <c r="I57" s="43">
        <f>-L57</f>
        <v>-7.3</v>
      </c>
      <c r="J57" s="46"/>
      <c r="K57" s="35">
        <v>0</v>
      </c>
      <c r="L57" s="44">
        <f>ROUND(0.248*L56+0.752*L58,1)</f>
        <v>7.3</v>
      </c>
      <c r="M57" s="206">
        <f>ROUND((0.248*M56+0.752*M58)*$O$57/(0.248*$O$56+0.752*$O$58),2)</f>
        <v>-0.09</v>
      </c>
      <c r="N57" s="212">
        <f t="shared" si="0"/>
        <v>0.14199999999999999</v>
      </c>
      <c r="O57" s="212">
        <f t="shared" si="1"/>
        <v>0.122</v>
      </c>
      <c r="P57" s="46"/>
      <c r="Q57" s="12" t="s">
        <v>425</v>
      </c>
      <c r="R57" s="12">
        <v>2</v>
      </c>
      <c r="T57" s="211">
        <v>0.14231356342633603</v>
      </c>
      <c r="U57" s="211">
        <v>0.12230152457966299</v>
      </c>
      <c r="V57" s="106">
        <v>0.14499999999999999</v>
      </c>
      <c r="W57" s="106">
        <v>0.125</v>
      </c>
      <c r="X57" s="106"/>
      <c r="Y57" s="106"/>
    </row>
    <row r="58" spans="1:25" ht="12" customHeight="1" x14ac:dyDescent="0.2">
      <c r="A58" s="3" t="s">
        <v>229</v>
      </c>
      <c r="B58" s="3" t="s">
        <v>160</v>
      </c>
      <c r="C58" s="3" t="s">
        <v>61</v>
      </c>
      <c r="D58" s="3" t="s">
        <v>82</v>
      </c>
      <c r="E58" s="223">
        <f>56+8/60+32/3600</f>
        <v>56.142222222222223</v>
      </c>
      <c r="F58" s="223">
        <f>12+34/60+45/3600</f>
        <v>12.579166666666666</v>
      </c>
      <c r="G58" s="35">
        <v>850.6</v>
      </c>
      <c r="H58" s="35">
        <v>848.6</v>
      </c>
      <c r="I58" s="35">
        <v>840.8</v>
      </c>
      <c r="J58" s="44">
        <f>ROUND(J59+I58-I59,1)</f>
        <v>840.8</v>
      </c>
      <c r="K58" s="35">
        <v>649</v>
      </c>
      <c r="L58" s="35">
        <v>6.1</v>
      </c>
      <c r="M58" s="46">
        <f>-0.1</f>
        <v>-0.1</v>
      </c>
      <c r="N58" s="212">
        <f t="shared" si="0"/>
        <v>0.15</v>
      </c>
      <c r="O58" s="212">
        <f t="shared" si="1"/>
        <v>0.13</v>
      </c>
      <c r="P58" s="46">
        <f>ROUND(O58-M58,2)</f>
        <v>0.23</v>
      </c>
      <c r="Q58" s="12" t="s">
        <v>24</v>
      </c>
      <c r="R58" s="12">
        <v>1</v>
      </c>
      <c r="T58" s="211">
        <v>0.150354461650161</v>
      </c>
      <c r="U58" s="211">
        <v>0.12985523214132499</v>
      </c>
      <c r="V58" s="106">
        <v>0.152</v>
      </c>
      <c r="W58" s="106">
        <v>0.13100000000000001</v>
      </c>
      <c r="X58" s="204">
        <v>0.15046699999999999</v>
      </c>
      <c r="Y58" s="204">
        <v>0.13020700000000002</v>
      </c>
    </row>
    <row r="59" spans="1:25" ht="12" customHeight="1" x14ac:dyDescent="0.2">
      <c r="A59" s="3" t="s">
        <v>237</v>
      </c>
      <c r="B59" s="3" t="s">
        <v>382</v>
      </c>
      <c r="C59" s="3" t="s">
        <v>97</v>
      </c>
      <c r="D59" s="3" t="s">
        <v>98</v>
      </c>
      <c r="E59" s="223">
        <f>56+17/60+53/3600</f>
        <v>56.298055555555557</v>
      </c>
      <c r="F59" s="223">
        <f>12+47/60+12/3600</f>
        <v>12.786666666666667</v>
      </c>
      <c r="G59" s="35"/>
      <c r="H59" s="35"/>
      <c r="I59" s="35">
        <v>0</v>
      </c>
      <c r="J59" s="35"/>
      <c r="K59" s="35">
        <v>0</v>
      </c>
      <c r="L59" s="44">
        <f>ROUND(0.799*L58+0.201*L64,1)</f>
        <v>6.1</v>
      </c>
      <c r="M59" s="206">
        <f>ROUND((0.799*M58+0.201*M64)*$O$59/(0.799*$O$58+0.201*$O$64),2)</f>
        <v>-0.06</v>
      </c>
      <c r="N59" s="212">
        <f t="shared" si="0"/>
        <v>0.17199999999999999</v>
      </c>
      <c r="O59" s="212">
        <f t="shared" si="1"/>
        <v>0.151</v>
      </c>
      <c r="P59" s="46">
        <f>ROUND(O59-M59,2)</f>
        <v>0.21</v>
      </c>
      <c r="Q59" s="12" t="s">
        <v>94</v>
      </c>
      <c r="R59" s="12">
        <v>4</v>
      </c>
      <c r="T59" s="211">
        <v>0.17221981093302</v>
      </c>
      <c r="U59" s="211">
        <v>0.15057486770211101</v>
      </c>
      <c r="V59" s="106">
        <v>0.17499999999999999</v>
      </c>
      <c r="W59" s="106">
        <v>0.153</v>
      </c>
      <c r="X59" s="204">
        <v>0.16883699999999999</v>
      </c>
      <c r="Y59" s="204">
        <v>0.146513</v>
      </c>
    </row>
    <row r="60" spans="1:25" ht="12" customHeight="1" x14ac:dyDescent="0.2">
      <c r="A60" s="3" t="s">
        <v>128</v>
      </c>
      <c r="B60" s="3" t="s">
        <v>129</v>
      </c>
      <c r="C60" s="3" t="s">
        <v>130</v>
      </c>
      <c r="D60" s="3" t="s">
        <v>131</v>
      </c>
      <c r="E60" s="223">
        <f>56+38/60+56/3600</f>
        <v>56.648888888888891</v>
      </c>
      <c r="F60" s="223">
        <f>12+50/60+9/3600</f>
        <v>12.835833333333333</v>
      </c>
      <c r="G60" s="45"/>
      <c r="H60" s="45"/>
      <c r="I60" s="43">
        <f>-L60</f>
        <v>-6</v>
      </c>
      <c r="J60" s="46"/>
      <c r="K60" s="35">
        <v>0</v>
      </c>
      <c r="L60" s="44">
        <f>ROUND(0.44*L58+0.56*L64,1)</f>
        <v>6</v>
      </c>
      <c r="M60" s="206">
        <f>ROUND((0.44*M58+0.56*M64)*$O$60/(0.44*$O$58+0.56*$O$64),2)</f>
        <v>0.01</v>
      </c>
      <c r="N60" s="212">
        <f t="shared" si="0"/>
        <v>0.218</v>
      </c>
      <c r="O60" s="212">
        <f t="shared" si="1"/>
        <v>0.19400000000000001</v>
      </c>
      <c r="P60" s="46"/>
      <c r="Q60" s="12" t="s">
        <v>425</v>
      </c>
      <c r="R60" s="12">
        <v>1</v>
      </c>
      <c r="T60" s="211">
        <v>0.21794350666556503</v>
      </c>
      <c r="U60" s="211">
        <v>0.194071993797755</v>
      </c>
      <c r="V60" s="106">
        <v>0.22</v>
      </c>
      <c r="W60" s="106">
        <v>0.19600000000000001</v>
      </c>
      <c r="X60" s="106"/>
      <c r="Y60" s="106"/>
    </row>
    <row r="61" spans="1:25" ht="12" customHeight="1" x14ac:dyDescent="0.2">
      <c r="A61" s="3" t="s">
        <v>361</v>
      </c>
      <c r="B61" s="3" t="s">
        <v>398</v>
      </c>
      <c r="C61" s="3" t="s">
        <v>263</v>
      </c>
      <c r="D61" s="3" t="s">
        <v>264</v>
      </c>
      <c r="E61" s="223">
        <f>56+53/60+31/3600</f>
        <v>56.891944444444441</v>
      </c>
      <c r="F61" s="223">
        <f>12+29/60+22/3600</f>
        <v>12.489444444444443</v>
      </c>
      <c r="G61" s="45"/>
      <c r="H61" s="45"/>
      <c r="I61" s="43">
        <f>-L61</f>
        <v>-6</v>
      </c>
      <c r="J61" s="46"/>
      <c r="K61" s="10">
        <v>0</v>
      </c>
      <c r="L61" s="44">
        <f>ROUND(0.275*L58+0.725*L64,1)</f>
        <v>6</v>
      </c>
      <c r="M61" s="206">
        <f>ROUND((0.275*M58+0.725*M64)*$O$61/(0.275*$O$58+0.725*$O$64),2)</f>
        <v>0.05</v>
      </c>
      <c r="N61" s="212">
        <f t="shared" si="0"/>
        <v>0.24199999999999999</v>
      </c>
      <c r="O61" s="212">
        <f t="shared" si="1"/>
        <v>0.217</v>
      </c>
      <c r="P61" s="46"/>
      <c r="Q61" s="12" t="s">
        <v>92</v>
      </c>
      <c r="R61" s="12">
        <v>2</v>
      </c>
      <c r="T61" s="211">
        <v>0.24219765370834001</v>
      </c>
      <c r="U61" s="211">
        <v>0.21717834238003803</v>
      </c>
      <c r="V61" s="106">
        <v>0.24199999999999999</v>
      </c>
      <c r="W61" s="106">
        <v>0.217</v>
      </c>
      <c r="X61" s="106"/>
      <c r="Y61" s="106"/>
    </row>
    <row r="62" spans="1:25" ht="12" customHeight="1" x14ac:dyDescent="0.2">
      <c r="A62" s="3" t="s">
        <v>238</v>
      </c>
      <c r="B62" s="3" t="s">
        <v>383</v>
      </c>
      <c r="C62" s="3" t="s">
        <v>127</v>
      </c>
      <c r="D62" s="3" t="s">
        <v>126</v>
      </c>
      <c r="E62" s="223">
        <f>57+6/60+0/3600</f>
        <v>57.1</v>
      </c>
      <c r="F62" s="223">
        <f>12+13/60+0/3600</f>
        <v>12.216666666666667</v>
      </c>
      <c r="G62" s="35">
        <v>859.9</v>
      </c>
      <c r="H62" s="35">
        <v>858.1</v>
      </c>
      <c r="I62" s="21">
        <f>ROUND(I64+G62-G64,0)</f>
        <v>845</v>
      </c>
      <c r="J62" s="35"/>
      <c r="K62" s="10">
        <v>0</v>
      </c>
      <c r="L62" s="44">
        <f>ROUND(0.127*L58+0.873*L64,1)</f>
        <v>5.9</v>
      </c>
      <c r="M62" s="206">
        <f>ROUND((0.127*M58+0.873*M64)*$O$62/(0.127*$O$58+0.873*$O$64),2)</f>
        <v>7.0000000000000007E-2</v>
      </c>
      <c r="N62" s="212">
        <f t="shared" si="0"/>
        <v>0.26200000000000001</v>
      </c>
      <c r="O62" s="212">
        <f t="shared" si="1"/>
        <v>0.23599999999999999</v>
      </c>
      <c r="P62" s="46">
        <f>ROUND(O62-M62,2)</f>
        <v>0.17</v>
      </c>
      <c r="Q62" s="12" t="s">
        <v>20</v>
      </c>
      <c r="R62" s="12">
        <v>4</v>
      </c>
      <c r="T62" s="211">
        <v>0.26203500254983603</v>
      </c>
      <c r="U62" s="211">
        <v>0.23603095644003302</v>
      </c>
      <c r="V62" s="106">
        <v>0.26900000000000002</v>
      </c>
      <c r="W62" s="106">
        <v>0.24199999999999999</v>
      </c>
      <c r="X62" s="204">
        <v>0.26304300000000003</v>
      </c>
      <c r="Y62" s="204">
        <v>0.23727599999999999</v>
      </c>
    </row>
    <row r="63" spans="1:25" ht="12" customHeight="1" x14ac:dyDescent="0.2">
      <c r="A63" s="3" t="s">
        <v>357</v>
      </c>
      <c r="B63" s="3" t="s">
        <v>402</v>
      </c>
      <c r="C63" s="3" t="s">
        <v>358</v>
      </c>
      <c r="D63" s="3" t="s">
        <v>359</v>
      </c>
      <c r="E63" s="223">
        <f>57+6/60+40/3600</f>
        <v>57.111111111111114</v>
      </c>
      <c r="F63" s="223">
        <f>12+14/60+19/3600</f>
        <v>12.23861111111111</v>
      </c>
      <c r="G63" s="45"/>
      <c r="H63" s="45"/>
      <c r="I63" s="43">
        <v>-5.9</v>
      </c>
      <c r="J63" s="46"/>
      <c r="K63" s="35">
        <v>0</v>
      </c>
      <c r="L63" s="44">
        <f>ROUND(L62,1)</f>
        <v>5.9</v>
      </c>
      <c r="M63" s="206">
        <f>ROUND((0.12*M58+0.88*M64)*$O$63/(0.12*$O$58+0.88*$O$64),2)-0.01</f>
        <v>7.0000000000000007E-2</v>
      </c>
      <c r="N63" s="212">
        <f t="shared" si="0"/>
        <v>0.26400000000000001</v>
      </c>
      <c r="O63" s="212">
        <f t="shared" si="1"/>
        <v>0.23799999999999999</v>
      </c>
      <c r="P63" s="46"/>
      <c r="Q63" s="12" t="s">
        <v>425</v>
      </c>
      <c r="R63" s="12">
        <v>2</v>
      </c>
      <c r="T63" s="211">
        <v>0.26389422245168798</v>
      </c>
      <c r="U63" s="211">
        <v>0.23778934257778503</v>
      </c>
      <c r="V63" s="106">
        <v>0.26900000000000002</v>
      </c>
      <c r="W63" s="106">
        <v>0.24199999999999999</v>
      </c>
      <c r="X63" s="106"/>
      <c r="Y63" s="106"/>
    </row>
    <row r="64" spans="1:25" ht="12" customHeight="1" x14ac:dyDescent="0.2">
      <c r="A64" s="3" t="s">
        <v>230</v>
      </c>
      <c r="B64" s="3" t="s">
        <v>149</v>
      </c>
      <c r="C64" s="3" t="s">
        <v>62</v>
      </c>
      <c r="D64" s="3" t="s">
        <v>83</v>
      </c>
      <c r="E64" s="223">
        <f>57+14/60+59/3600</f>
        <v>57.249722222222225</v>
      </c>
      <c r="F64" s="223">
        <f>12+6/60+45/3600</f>
        <v>12.112499999999999</v>
      </c>
      <c r="G64" s="35">
        <v>766.2</v>
      </c>
      <c r="H64" s="35">
        <v>763.2</v>
      </c>
      <c r="I64" s="35">
        <v>751.7</v>
      </c>
      <c r="J64" s="35">
        <v>752.3</v>
      </c>
      <c r="K64" s="35">
        <v>456.3</v>
      </c>
      <c r="L64" s="35">
        <v>5.9</v>
      </c>
      <c r="M64" s="46">
        <v>0.1</v>
      </c>
      <c r="N64" s="212">
        <f t="shared" si="0"/>
        <v>0.27700000000000002</v>
      </c>
      <c r="O64" s="212">
        <f t="shared" si="1"/>
        <v>0.25</v>
      </c>
      <c r="P64" s="46">
        <f>ROUND(O64-M64,2)</f>
        <v>0.15</v>
      </c>
      <c r="Q64" s="12" t="s">
        <v>25</v>
      </c>
      <c r="R64" s="12">
        <v>1</v>
      </c>
      <c r="T64" s="211">
        <v>0.27719256339375903</v>
      </c>
      <c r="U64" s="211">
        <v>0.25034926214943898</v>
      </c>
      <c r="V64" s="106">
        <v>0.27400000000000002</v>
      </c>
      <c r="W64" s="106">
        <v>0.247</v>
      </c>
      <c r="X64" s="204">
        <v>0.277945</v>
      </c>
      <c r="Y64" s="204">
        <v>0.25148599999999999</v>
      </c>
    </row>
    <row r="65" spans="1:25" ht="12" customHeight="1" x14ac:dyDescent="0.2">
      <c r="A65" s="3" t="s">
        <v>231</v>
      </c>
      <c r="B65" s="3" t="s">
        <v>368</v>
      </c>
      <c r="C65" s="3" t="s">
        <v>99</v>
      </c>
      <c r="D65" s="3" t="s">
        <v>100</v>
      </c>
      <c r="E65" s="223">
        <f>57+23/60+31/3600</f>
        <v>57.391944444444441</v>
      </c>
      <c r="F65" s="223">
        <f>11+55/60+9/3600</f>
        <v>11.919166666666666</v>
      </c>
      <c r="G65" s="50">
        <f>ROUND(G64+I65-I64,0)</f>
        <v>269</v>
      </c>
      <c r="H65" s="21">
        <f>ROUND(H64+I65-I64,0)</f>
        <v>266</v>
      </c>
      <c r="I65" s="44">
        <v>254.61699999999999</v>
      </c>
      <c r="J65" s="44">
        <f>ROUND(J68+I65-I68,1)</f>
        <v>255.2</v>
      </c>
      <c r="K65" s="35">
        <v>256.5</v>
      </c>
      <c r="L65" s="175">
        <f>ROUND(0.724*L64+0.276*L68,1)</f>
        <v>5.9</v>
      </c>
      <c r="M65" s="207">
        <f>ROUND((0.724*M64+0.276*M68)*$O$65/(0.724*$O$64+0.276*$O$68),2)</f>
        <v>0.12</v>
      </c>
      <c r="N65" s="212">
        <f t="shared" si="0"/>
        <v>0.28899999999999998</v>
      </c>
      <c r="O65" s="212">
        <f t="shared" si="1"/>
        <v>0.26100000000000001</v>
      </c>
      <c r="P65" s="46">
        <f>ROUND(O65-M65,2)</f>
        <v>0.14000000000000001</v>
      </c>
      <c r="Q65" s="12" t="s">
        <v>92</v>
      </c>
      <c r="R65" s="12">
        <v>1</v>
      </c>
      <c r="T65" s="211">
        <v>0.28853030548347797</v>
      </c>
      <c r="U65" s="211">
        <v>0.26102867694894799</v>
      </c>
      <c r="V65" s="106">
        <v>0.28899999999999998</v>
      </c>
      <c r="W65" s="106">
        <v>0.26100000000000001</v>
      </c>
      <c r="X65" s="204">
        <v>0.28853000000000001</v>
      </c>
      <c r="Y65" s="204">
        <v>0.26049</v>
      </c>
    </row>
    <row r="66" spans="1:25" ht="12" customHeight="1" x14ac:dyDescent="0.2">
      <c r="A66" s="3" t="s">
        <v>267</v>
      </c>
      <c r="B66" s="3" t="s">
        <v>401</v>
      </c>
      <c r="C66" s="3" t="s">
        <v>268</v>
      </c>
      <c r="D66" s="3" t="s">
        <v>269</v>
      </c>
      <c r="E66" s="223">
        <f>57+37/60+54/3600</f>
        <v>57.631666666666668</v>
      </c>
      <c r="F66" s="223">
        <f>11+36/60+32/3600</f>
        <v>11.608888888888888</v>
      </c>
      <c r="G66" s="50"/>
      <c r="H66" s="21"/>
      <c r="I66" s="43">
        <f>-L66</f>
        <v>-4.8</v>
      </c>
      <c r="J66" s="46"/>
      <c r="K66" s="35">
        <v>0</v>
      </c>
      <c r="L66" s="175">
        <f>ROUND(L68-1,1)</f>
        <v>4.8</v>
      </c>
      <c r="M66" s="207">
        <f>ROUND(0.245*M64+0.755*M68,2)</f>
        <v>0.15</v>
      </c>
      <c r="N66" s="212">
        <f t="shared" si="0"/>
        <v>0.30499999999999999</v>
      </c>
      <c r="O66" s="212">
        <f t="shared" si="1"/>
        <v>0.27700000000000002</v>
      </c>
      <c r="P66" s="46"/>
      <c r="Q66" s="12" t="s">
        <v>425</v>
      </c>
      <c r="R66" s="12">
        <v>2</v>
      </c>
      <c r="T66" s="211">
        <v>0.30539515868327</v>
      </c>
      <c r="U66" s="211">
        <v>0.27684514384488901</v>
      </c>
      <c r="V66" s="106">
        <v>0.30499999999999999</v>
      </c>
      <c r="W66" s="106">
        <v>0.27700000000000002</v>
      </c>
      <c r="X66" s="204">
        <v>0.30598999999999998</v>
      </c>
      <c r="Y66" s="204">
        <v>0.27667900000000001</v>
      </c>
    </row>
    <row r="67" spans="1:25" ht="12" customHeight="1" x14ac:dyDescent="0.2">
      <c r="A67" s="114" t="s">
        <v>324</v>
      </c>
      <c r="B67" s="3" t="s">
        <v>325</v>
      </c>
      <c r="C67" s="3" t="s">
        <v>326</v>
      </c>
      <c r="D67" s="3" t="s">
        <v>327</v>
      </c>
      <c r="E67" s="223">
        <f>57+40/60+20/3600</f>
        <v>57.672222222222217</v>
      </c>
      <c r="F67" s="223">
        <f>11+42/60+27/3600</f>
        <v>11.7075</v>
      </c>
      <c r="G67" s="35"/>
      <c r="H67" s="35"/>
      <c r="I67" s="43">
        <f>-L67</f>
        <v>-5.0999999999999996</v>
      </c>
      <c r="J67" s="35"/>
      <c r="K67" s="10">
        <v>0</v>
      </c>
      <c r="L67" s="44">
        <f>ROUND(0.675*L66+0.325*L68,1)</f>
        <v>5.0999999999999996</v>
      </c>
      <c r="M67" s="206">
        <f>ROUND(0.675*M66+0.325*M68,2)</f>
        <v>0.15</v>
      </c>
      <c r="N67" s="212">
        <f t="shared" si="0"/>
        <v>0.314</v>
      </c>
      <c r="O67" s="212">
        <f t="shared" si="1"/>
        <v>0.28499999999999998</v>
      </c>
      <c r="P67" s="46"/>
      <c r="Q67" s="12" t="s">
        <v>425</v>
      </c>
      <c r="R67" s="12">
        <v>3</v>
      </c>
      <c r="T67" s="211">
        <v>0.31401496203444301</v>
      </c>
      <c r="U67" s="211">
        <v>0.28504099832260404</v>
      </c>
      <c r="V67" s="106">
        <v>0.32200000000000001</v>
      </c>
      <c r="W67" s="106">
        <v>0.29199999999999998</v>
      </c>
      <c r="X67" s="204">
        <v>0.31332300000000002</v>
      </c>
      <c r="Y67" s="204">
        <v>0.28454199999999996</v>
      </c>
    </row>
    <row r="68" spans="1:25" ht="12" customHeight="1" x14ac:dyDescent="0.2">
      <c r="A68" s="3" t="s">
        <v>232</v>
      </c>
      <c r="B68" s="3" t="s">
        <v>365</v>
      </c>
      <c r="C68" s="3" t="s">
        <v>63</v>
      </c>
      <c r="D68" s="3" t="s">
        <v>84</v>
      </c>
      <c r="E68" s="223">
        <f>57+41/60+5/3600</f>
        <v>57.68472222222222</v>
      </c>
      <c r="F68" s="223">
        <f>11+47/60+26/3600</f>
        <v>11.790555555555555</v>
      </c>
      <c r="G68" s="35">
        <v>1014</v>
      </c>
      <c r="H68" s="35">
        <v>1003.8</v>
      </c>
      <c r="I68" s="35">
        <v>991.9</v>
      </c>
      <c r="J68" s="35">
        <v>992.5</v>
      </c>
      <c r="K68" s="35">
        <v>847.2</v>
      </c>
      <c r="L68" s="35">
        <v>5.8</v>
      </c>
      <c r="M68" s="46">
        <v>0.16</v>
      </c>
      <c r="N68" s="212">
        <f t="shared" si="0"/>
        <v>0.31900000000000001</v>
      </c>
      <c r="O68" s="212">
        <f t="shared" si="1"/>
        <v>0.28899999999999998</v>
      </c>
      <c r="P68" s="46">
        <f>ROUND(O68-M68,2)</f>
        <v>0.13</v>
      </c>
      <c r="Q68" s="12" t="s">
        <v>25</v>
      </c>
      <c r="R68" s="12">
        <v>3</v>
      </c>
      <c r="T68" s="211">
        <v>0.31863105915284101</v>
      </c>
      <c r="U68" s="211">
        <v>0.289436542515777</v>
      </c>
      <c r="V68" s="106">
        <v>0.32200000000000001</v>
      </c>
      <c r="W68" s="106">
        <v>0.29199999999999998</v>
      </c>
      <c r="X68" s="204">
        <v>0.31899099999999997</v>
      </c>
      <c r="Y68" s="204">
        <v>0.28936499999999998</v>
      </c>
    </row>
    <row r="69" spans="1:25" ht="12" customHeight="1" x14ac:dyDescent="0.2">
      <c r="A69" s="26">
        <v>35120</v>
      </c>
      <c r="B69" s="3" t="s">
        <v>362</v>
      </c>
      <c r="C69" s="3" t="s">
        <v>363</v>
      </c>
      <c r="D69" s="3" t="s">
        <v>364</v>
      </c>
      <c r="E69" s="223">
        <f>57+40/60+55/3600</f>
        <v>57.68194444444444</v>
      </c>
      <c r="F69" s="223">
        <f>11+52/60+20/3600</f>
        <v>11.872222222222224</v>
      </c>
      <c r="G69" s="35"/>
      <c r="H69" s="35"/>
      <c r="I69" s="43">
        <f>-L69</f>
        <v>-7.3</v>
      </c>
      <c r="J69" s="35"/>
      <c r="K69" s="10">
        <v>0</v>
      </c>
      <c r="L69" s="44">
        <f>ROUND(0.709*L68+0.291*L74,1)</f>
        <v>7.3</v>
      </c>
      <c r="M69" s="206">
        <f>ROUND((0.709*M68+0.291*M74)*$O$68/(0.709*$O$68+0.291*$O$74),2)</f>
        <v>0.16</v>
      </c>
      <c r="N69" s="212">
        <f t="shared" si="0"/>
        <v>0.32100000000000001</v>
      </c>
      <c r="O69" s="212">
        <f t="shared" si="1"/>
        <v>0.29199999999999998</v>
      </c>
      <c r="P69" s="46"/>
      <c r="Q69" s="12" t="s">
        <v>373</v>
      </c>
      <c r="R69" s="12">
        <v>2</v>
      </c>
      <c r="T69" s="211">
        <v>0.32126335710187004</v>
      </c>
      <c r="U69" s="211">
        <v>0.29195124956391599</v>
      </c>
      <c r="V69" s="106">
        <v>0.32800000000000001</v>
      </c>
      <c r="W69" s="106">
        <v>0.29799999999999999</v>
      </c>
      <c r="X69" s="106"/>
      <c r="Y69" s="106"/>
    </row>
    <row r="70" spans="1:25" s="5" customFormat="1" ht="12" customHeight="1" x14ac:dyDescent="0.2">
      <c r="A70" s="3">
        <v>33091</v>
      </c>
      <c r="B70" s="3" t="s">
        <v>390</v>
      </c>
      <c r="C70" s="3" t="s">
        <v>335</v>
      </c>
      <c r="D70" s="3" t="s">
        <v>342</v>
      </c>
      <c r="E70" s="223">
        <f>57+41/60+29/3600</f>
        <v>57.691388888888888</v>
      </c>
      <c r="F70" s="223">
        <f>11+54/60+4/3600</f>
        <v>11.901111111111112</v>
      </c>
      <c r="G70" s="14"/>
      <c r="H70" s="14"/>
      <c r="I70" s="43">
        <f>-L70</f>
        <v>-8</v>
      </c>
      <c r="J70" s="79"/>
      <c r="K70" s="10">
        <v>0</v>
      </c>
      <c r="L70" s="44">
        <f>ROUND(0.56*L68+0.44*L74,1)</f>
        <v>8</v>
      </c>
      <c r="M70" s="206">
        <f>ROUND(M68,2)</f>
        <v>0.16</v>
      </c>
      <c r="N70" s="212">
        <f t="shared" si="0"/>
        <v>0.32300000000000001</v>
      </c>
      <c r="O70" s="212">
        <f t="shared" si="1"/>
        <v>0.29399999999999998</v>
      </c>
      <c r="P70" s="196"/>
      <c r="R70" s="5">
        <v>2</v>
      </c>
      <c r="S70" s="196"/>
      <c r="T70" s="211">
        <v>0.32340218703791801</v>
      </c>
      <c r="U70" s="211">
        <v>0.293980923163909</v>
      </c>
      <c r="V70" s="196">
        <v>0.32800000000000001</v>
      </c>
      <c r="W70" s="196">
        <v>0.29799999999999999</v>
      </c>
      <c r="X70" s="106"/>
      <c r="Y70" s="106"/>
    </row>
    <row r="71" spans="1:25" ht="12" customHeight="1" x14ac:dyDescent="0.2">
      <c r="A71" s="3" t="s">
        <v>330</v>
      </c>
      <c r="B71" s="3" t="s">
        <v>384</v>
      </c>
      <c r="C71" s="3" t="s">
        <v>332</v>
      </c>
      <c r="D71" s="3" t="s">
        <v>331</v>
      </c>
      <c r="E71" s="223">
        <f>57+41/60+30/3600</f>
        <v>57.691666666666663</v>
      </c>
      <c r="F71" s="223">
        <f>11+54/60+30/3600</f>
        <v>11.908333333333333</v>
      </c>
      <c r="G71" s="21">
        <f>ROUND(G68-(I68-I71),0)</f>
        <v>1016</v>
      </c>
      <c r="H71" s="21">
        <f>ROUND(H68-(I68-I71),0)</f>
        <v>1006</v>
      </c>
      <c r="I71" s="161">
        <v>994</v>
      </c>
      <c r="J71" s="46"/>
      <c r="K71" s="35">
        <v>0</v>
      </c>
      <c r="L71" s="44">
        <f>ROUND(0.54*L68+0.46*L74,1)</f>
        <v>8.1</v>
      </c>
      <c r="M71" s="206">
        <f>ROUND((0.555*M68+0.445*M74)*$O$71/(0.555*$O$68+0.445*$O$74),2)</f>
        <v>0.16</v>
      </c>
      <c r="N71" s="212">
        <f t="shared" si="0"/>
        <v>0.32400000000000001</v>
      </c>
      <c r="O71" s="212">
        <f t="shared" si="1"/>
        <v>0.29399999999999998</v>
      </c>
      <c r="P71" s="46"/>
      <c r="Q71" s="12" t="s">
        <v>333</v>
      </c>
      <c r="R71" s="12">
        <v>4</v>
      </c>
      <c r="T71" s="211">
        <v>0.323689110297047</v>
      </c>
      <c r="U71" s="211">
        <v>0.29425409447665002</v>
      </c>
      <c r="V71" s="106">
        <v>0.32800000000000001</v>
      </c>
      <c r="W71" s="106">
        <v>0.29799999999999999</v>
      </c>
      <c r="X71" s="204">
        <v>0.32241399999999998</v>
      </c>
      <c r="Y71" s="204">
        <v>0.293769</v>
      </c>
    </row>
    <row r="72" spans="1:25" s="5" customFormat="1" ht="12" customHeight="1" x14ac:dyDescent="0.2">
      <c r="A72" s="3">
        <v>33096</v>
      </c>
      <c r="B72" s="3" t="s">
        <v>352</v>
      </c>
      <c r="C72" s="3" t="s">
        <v>340</v>
      </c>
      <c r="D72" s="3" t="s">
        <v>347</v>
      </c>
      <c r="E72" s="223">
        <f>57+41/60+48/3600</f>
        <v>57.696666666666665</v>
      </c>
      <c r="F72" s="223">
        <f>11+54/60+32/3600</f>
        <v>11.908888888888889</v>
      </c>
      <c r="G72" s="14"/>
      <c r="H72" s="14"/>
      <c r="I72" s="43">
        <f>-L72</f>
        <v>-8.3000000000000007</v>
      </c>
      <c r="J72" s="10"/>
      <c r="K72" s="35">
        <v>0</v>
      </c>
      <c r="L72" s="44">
        <f>ROUND(0.5*L68+0.5*L74,1)</f>
        <v>8.3000000000000007</v>
      </c>
      <c r="M72" s="206">
        <f>ROUND(M68,2)</f>
        <v>0.16</v>
      </c>
      <c r="N72" s="212">
        <f t="shared" si="0"/>
        <v>0.32400000000000001</v>
      </c>
      <c r="O72" s="212">
        <f t="shared" si="1"/>
        <v>0.29499999999999998</v>
      </c>
      <c r="P72" s="196"/>
      <c r="R72" s="5">
        <v>2</v>
      </c>
      <c r="S72" s="196"/>
      <c r="T72" s="211">
        <v>0.32430621735328602</v>
      </c>
      <c r="U72" s="211">
        <v>0.29483754669325202</v>
      </c>
      <c r="V72" s="196">
        <v>0.32800000000000001</v>
      </c>
      <c r="W72" s="196">
        <v>0.29799999999999999</v>
      </c>
      <c r="X72" s="106"/>
      <c r="Y72" s="106"/>
    </row>
    <row r="73" spans="1:25" s="5" customFormat="1" ht="12" customHeight="1" x14ac:dyDescent="0.2">
      <c r="A73" s="3">
        <v>33092</v>
      </c>
      <c r="B73" s="3" t="s">
        <v>349</v>
      </c>
      <c r="C73" s="3" t="s">
        <v>336</v>
      </c>
      <c r="D73" s="3" t="s">
        <v>343</v>
      </c>
      <c r="E73" s="223">
        <f>57+42/60+53/3600</f>
        <v>57.714722222222228</v>
      </c>
      <c r="F73" s="223">
        <f>11+58/60+1/3600</f>
        <v>11.966944444444444</v>
      </c>
      <c r="G73" s="14"/>
      <c r="H73" s="14"/>
      <c r="I73" s="43">
        <f>-L73</f>
        <v>-10.8</v>
      </c>
      <c r="J73" s="10"/>
      <c r="K73" s="35">
        <v>0</v>
      </c>
      <c r="L73" s="44">
        <f>ROUND(L68+5,1)</f>
        <v>10.8</v>
      </c>
      <c r="M73" s="174">
        <f>ROUND(M68*$O$73/$O$68,2)</f>
        <v>0.17</v>
      </c>
      <c r="N73" s="212">
        <f t="shared" si="0"/>
        <v>0.32800000000000001</v>
      </c>
      <c r="O73" s="212">
        <f t="shared" si="1"/>
        <v>0.29899999999999999</v>
      </c>
      <c r="P73" s="196"/>
      <c r="R73" s="5">
        <v>3</v>
      </c>
      <c r="S73" s="196"/>
      <c r="T73" s="211">
        <v>0.328483420878521</v>
      </c>
      <c r="U73" s="211">
        <v>0.29880116734328399</v>
      </c>
      <c r="V73" s="196">
        <v>0.32800000000000001</v>
      </c>
      <c r="W73" s="196">
        <v>0.29799999999999999</v>
      </c>
      <c r="X73" s="106"/>
      <c r="Y73" s="106"/>
    </row>
    <row r="74" spans="1:25" ht="12" customHeight="1" x14ac:dyDescent="0.2">
      <c r="A74" s="3" t="s">
        <v>356</v>
      </c>
      <c r="B74" s="3" t="s">
        <v>375</v>
      </c>
      <c r="C74" s="3" t="s">
        <v>328</v>
      </c>
      <c r="D74" s="3" t="s">
        <v>329</v>
      </c>
      <c r="E74" s="223">
        <f>57+43/60+5/3600</f>
        <v>57.718055555555559</v>
      </c>
      <c r="F74" s="223">
        <f>11+58/60+6/3600</f>
        <v>11.968333333333334</v>
      </c>
      <c r="G74" s="21">
        <f>ROUND(G68-(I68-I74),0)</f>
        <v>1017</v>
      </c>
      <c r="H74" s="21">
        <f>ROUND(H68-(I68-I74),0)</f>
        <v>1007</v>
      </c>
      <c r="I74" s="161">
        <v>995</v>
      </c>
      <c r="J74" s="46"/>
      <c r="K74" s="10">
        <v>0</v>
      </c>
      <c r="L74" s="35">
        <f>ROUND(L68+5,1)</f>
        <v>10.8</v>
      </c>
      <c r="M74" s="46">
        <f>ROUND(M68*$O$74/$O$68,2)</f>
        <v>0.17</v>
      </c>
      <c r="N74" s="212">
        <f t="shared" si="0"/>
        <v>0.32900000000000001</v>
      </c>
      <c r="O74" s="212">
        <f t="shared" si="1"/>
        <v>0.29899999999999999</v>
      </c>
      <c r="P74" s="46"/>
      <c r="Q74" s="12" t="s">
        <v>334</v>
      </c>
      <c r="R74" s="12">
        <v>4</v>
      </c>
      <c r="T74" s="211">
        <v>0.32893900777578</v>
      </c>
      <c r="U74" s="211">
        <v>0.29923207526943701</v>
      </c>
      <c r="V74" s="106">
        <v>0.32800000000000001</v>
      </c>
      <c r="W74" s="106">
        <v>0.29799999999999999</v>
      </c>
      <c r="X74" s="204">
        <v>0.33041900000000002</v>
      </c>
      <c r="Y74" s="204">
        <v>0.30041299999999999</v>
      </c>
    </row>
    <row r="75" spans="1:25" s="5" customFormat="1" ht="12" customHeight="1" x14ac:dyDescent="0.2">
      <c r="A75" s="3">
        <v>33093</v>
      </c>
      <c r="B75" s="3" t="s">
        <v>391</v>
      </c>
      <c r="C75" s="3" t="s">
        <v>337</v>
      </c>
      <c r="D75" s="3" t="s">
        <v>344</v>
      </c>
      <c r="E75" s="223">
        <f>57+43/60+23/3600</f>
        <v>57.723055555555554</v>
      </c>
      <c r="F75" s="223">
        <f>11+59/60+13/3600</f>
        <v>11.986944444444443</v>
      </c>
      <c r="G75" s="14"/>
      <c r="H75" s="14"/>
      <c r="I75" s="43">
        <f>-L75</f>
        <v>-11.1</v>
      </c>
      <c r="J75" s="10"/>
      <c r="K75" s="10">
        <v>0</v>
      </c>
      <c r="L75" s="44">
        <f>ROUND(0.96*L74+0.04*L77,1)</f>
        <v>11.1</v>
      </c>
      <c r="M75" s="206">
        <f>ROUND(M68*$O$75/$O$68,2)</f>
        <v>0.17</v>
      </c>
      <c r="N75" s="212">
        <f t="shared" ref="N75:N84" si="4">ROUND(T75,3)</f>
        <v>0.33</v>
      </c>
      <c r="O75" s="212">
        <f t="shared" ref="O75:O84" si="5">ROUND(U75,3)</f>
        <v>0.3</v>
      </c>
      <c r="P75" s="196"/>
      <c r="R75" s="5">
        <v>2</v>
      </c>
      <c r="S75" s="196"/>
      <c r="T75" s="211">
        <v>0.33018910583234701</v>
      </c>
      <c r="U75" s="211">
        <v>0.300418400001983</v>
      </c>
      <c r="V75" s="196">
        <v>0.32800000000000001</v>
      </c>
      <c r="W75" s="196">
        <v>0.29799999999999999</v>
      </c>
      <c r="X75" s="106"/>
      <c r="Y75" s="106"/>
    </row>
    <row r="76" spans="1:25" s="5" customFormat="1" ht="12" customHeight="1" x14ac:dyDescent="0.2">
      <c r="A76" s="3">
        <v>33094</v>
      </c>
      <c r="B76" s="3" t="s">
        <v>350</v>
      </c>
      <c r="C76" s="3" t="s">
        <v>338</v>
      </c>
      <c r="D76" s="3" t="s">
        <v>345</v>
      </c>
      <c r="E76" s="223">
        <f>57+45/60+57/3600</f>
        <v>57.765833333333333</v>
      </c>
      <c r="F76" s="223">
        <f>12+0/60+20/3600</f>
        <v>12.005555555555556</v>
      </c>
      <c r="G76" s="14"/>
      <c r="H76" s="14"/>
      <c r="I76" s="43">
        <f>-L76</f>
        <v>-16.899999999999999</v>
      </c>
      <c r="J76" s="10"/>
      <c r="K76" s="35">
        <v>0</v>
      </c>
      <c r="L76" s="44">
        <f>ROUND(0.187*L74+0.813*L77,1)</f>
        <v>16.899999999999999</v>
      </c>
      <c r="M76" s="206">
        <f>ROUND(M68*$O$76/$O$68,2)</f>
        <v>0.17</v>
      </c>
      <c r="N76" s="212">
        <f t="shared" si="4"/>
        <v>0.33600000000000002</v>
      </c>
      <c r="O76" s="212">
        <f t="shared" si="5"/>
        <v>0.30599999999999999</v>
      </c>
      <c r="P76" s="196"/>
      <c r="R76" s="5">
        <v>3</v>
      </c>
      <c r="S76" s="196"/>
      <c r="T76" s="211">
        <v>0.33588255704737002</v>
      </c>
      <c r="U76" s="211">
        <v>0.30579914244478801</v>
      </c>
      <c r="V76" s="196">
        <v>0.34399999999999997</v>
      </c>
      <c r="W76" s="196">
        <v>0.313</v>
      </c>
      <c r="X76" s="106"/>
      <c r="Y76" s="106"/>
    </row>
    <row r="77" spans="1:25" s="5" customFormat="1" ht="12" customHeight="1" x14ac:dyDescent="0.2">
      <c r="A77" s="3">
        <v>33095</v>
      </c>
      <c r="B77" s="3" t="s">
        <v>351</v>
      </c>
      <c r="C77" s="3" t="s">
        <v>339</v>
      </c>
      <c r="D77" s="3" t="s">
        <v>346</v>
      </c>
      <c r="E77" s="223">
        <f>57+47/60+23/3600</f>
        <v>57.789722222222217</v>
      </c>
      <c r="F77" s="223">
        <f>12+0/60+36/3600</f>
        <v>12.01</v>
      </c>
      <c r="G77" s="14"/>
      <c r="H77" s="14"/>
      <c r="I77" s="43">
        <f>-L77</f>
        <v>-18.3</v>
      </c>
      <c r="J77" s="10"/>
      <c r="K77" s="35">
        <v>0</v>
      </c>
      <c r="L77" s="44">
        <f>ROUND(L74+7.5,1)</f>
        <v>18.3</v>
      </c>
      <c r="M77" s="206">
        <f>ROUND(M68*$O$77/$O$68,2)</f>
        <v>0.17</v>
      </c>
      <c r="N77" s="212">
        <f t="shared" si="4"/>
        <v>0.33900000000000002</v>
      </c>
      <c r="O77" s="212">
        <f t="shared" si="5"/>
        <v>0.309</v>
      </c>
      <c r="P77" s="196"/>
      <c r="R77" s="5">
        <v>2</v>
      </c>
      <c r="S77" s="196"/>
      <c r="T77" s="211">
        <v>0.33880456871943898</v>
      </c>
      <c r="U77" s="211">
        <v>0.30855606813692904</v>
      </c>
      <c r="V77" s="196">
        <v>0.34399999999999997</v>
      </c>
      <c r="W77" s="196">
        <v>0.313</v>
      </c>
      <c r="X77" s="106"/>
      <c r="Y77" s="106"/>
    </row>
    <row r="78" spans="1:25" ht="12" customHeight="1" x14ac:dyDescent="0.2">
      <c r="A78" s="3" t="s">
        <v>271</v>
      </c>
      <c r="B78" s="3" t="s">
        <v>270</v>
      </c>
      <c r="C78" s="3" t="s">
        <v>272</v>
      </c>
      <c r="D78" s="3" t="s">
        <v>273</v>
      </c>
      <c r="E78" s="223">
        <f>57+53/60+13/3600</f>
        <v>57.886944444444445</v>
      </c>
      <c r="F78" s="223">
        <f>11+35/60+37/3600</f>
        <v>11.593611111111112</v>
      </c>
      <c r="G78" s="35"/>
      <c r="H78" s="35"/>
      <c r="I78" s="43">
        <f>-L78</f>
        <v>-4.2</v>
      </c>
      <c r="J78" s="46"/>
      <c r="K78" s="10">
        <v>0</v>
      </c>
      <c r="L78" s="44">
        <f>ROUND(0.618*L68+0.382*L79,1)</f>
        <v>4.2</v>
      </c>
      <c r="M78" s="206">
        <f>ROUND(0.618*M68+0.382*M79,2)</f>
        <v>0.16</v>
      </c>
      <c r="N78" s="212">
        <f t="shared" si="4"/>
        <v>0.33500000000000002</v>
      </c>
      <c r="O78" s="212">
        <f t="shared" si="5"/>
        <v>0.30499999999999999</v>
      </c>
      <c r="P78" s="46"/>
      <c r="R78" s="12">
        <v>2</v>
      </c>
      <c r="T78" s="211">
        <v>0.33522375151656003</v>
      </c>
      <c r="U78" s="211">
        <v>0.30509539471751801</v>
      </c>
      <c r="V78" s="106">
        <v>0.33500000000000002</v>
      </c>
      <c r="W78" s="106">
        <v>0.30499999999999999</v>
      </c>
      <c r="X78" s="204">
        <v>0.33448899999999998</v>
      </c>
      <c r="Y78" s="204">
        <v>0.304253</v>
      </c>
    </row>
    <row r="79" spans="1:25" ht="12" customHeight="1" x14ac:dyDescent="0.2">
      <c r="A79" s="3" t="s">
        <v>233</v>
      </c>
      <c r="B79" s="3" t="s">
        <v>148</v>
      </c>
      <c r="C79" s="3" t="s">
        <v>64</v>
      </c>
      <c r="D79" s="3" t="s">
        <v>85</v>
      </c>
      <c r="E79" s="223">
        <f>58+5/60+36/3600</f>
        <v>58.093333333333334</v>
      </c>
      <c r="F79" s="223">
        <f>11+49/60+57/3600</f>
        <v>11.8325</v>
      </c>
      <c r="G79" s="35">
        <v>574</v>
      </c>
      <c r="H79" s="35">
        <v>562</v>
      </c>
      <c r="I79" s="35">
        <v>550.9</v>
      </c>
      <c r="J79" s="35">
        <v>551.5</v>
      </c>
      <c r="K79" s="35">
        <v>-73</v>
      </c>
      <c r="L79" s="35">
        <v>1.7</v>
      </c>
      <c r="M79" s="46">
        <v>0.17</v>
      </c>
      <c r="N79" s="212">
        <f t="shared" si="4"/>
        <v>0.37</v>
      </c>
      <c r="O79" s="212">
        <f t="shared" si="5"/>
        <v>0.33800000000000002</v>
      </c>
      <c r="P79" s="46">
        <f>ROUND(O79-M79,2)</f>
        <v>0.17</v>
      </c>
      <c r="Q79" s="12" t="s">
        <v>26</v>
      </c>
      <c r="R79" s="12">
        <v>1</v>
      </c>
      <c r="T79" s="211">
        <v>0.36986635982547605</v>
      </c>
      <c r="U79" s="211">
        <v>0.33797338161895601</v>
      </c>
      <c r="V79" s="106">
        <v>0.373</v>
      </c>
      <c r="W79" s="106">
        <v>0.34100000000000003</v>
      </c>
      <c r="X79" s="204">
        <v>0.36883199999999999</v>
      </c>
      <c r="Y79" s="204">
        <v>0.33680300000000002</v>
      </c>
    </row>
    <row r="80" spans="1:25" ht="12" customHeight="1" x14ac:dyDescent="0.2">
      <c r="A80" s="3" t="s">
        <v>236</v>
      </c>
      <c r="B80" s="3" t="s">
        <v>322</v>
      </c>
      <c r="C80" s="3" t="s">
        <v>101</v>
      </c>
      <c r="D80" s="3" t="s">
        <v>102</v>
      </c>
      <c r="E80" s="223">
        <f>58+20/60+51/3600</f>
        <v>58.347500000000004</v>
      </c>
      <c r="F80" s="223">
        <f>11+53/60+41/3600</f>
        <v>11.894722222222221</v>
      </c>
      <c r="G80" s="35"/>
      <c r="H80" s="35"/>
      <c r="I80" s="35">
        <v>0</v>
      </c>
      <c r="J80" s="35"/>
      <c r="K80" s="35">
        <v>0</v>
      </c>
      <c r="L80" s="130">
        <v>0.7</v>
      </c>
      <c r="M80" s="206">
        <f>ROUND(M79*$O$80/$O$79,2)</f>
        <v>0.19</v>
      </c>
      <c r="N80" s="212">
        <f t="shared" si="4"/>
        <v>0.40500000000000003</v>
      </c>
      <c r="O80" s="212">
        <f t="shared" si="5"/>
        <v>0.371</v>
      </c>
      <c r="P80" s="46">
        <f>ROUND(O80-M80,2)</f>
        <v>0.18</v>
      </c>
      <c r="Q80" s="12" t="s">
        <v>39</v>
      </c>
      <c r="R80" s="12">
        <v>1</v>
      </c>
      <c r="T80" s="211">
        <v>0.40463609031845699</v>
      </c>
      <c r="U80" s="211">
        <v>0.37098121158535402</v>
      </c>
      <c r="V80" s="106">
        <v>0.41099999999999998</v>
      </c>
      <c r="W80" s="106">
        <v>0.377</v>
      </c>
      <c r="X80" s="204">
        <v>0.40407999999999999</v>
      </c>
      <c r="Y80" s="204">
        <v>0.36994199999999999</v>
      </c>
    </row>
    <row r="81" spans="1:25" s="5" customFormat="1" ht="12" customHeight="1" x14ac:dyDescent="0.2">
      <c r="A81" s="3">
        <v>33099</v>
      </c>
      <c r="B81" s="3" t="s">
        <v>353</v>
      </c>
      <c r="C81" s="3" t="s">
        <v>341</v>
      </c>
      <c r="D81" s="3" t="s">
        <v>348</v>
      </c>
      <c r="E81" s="223">
        <f>58+15/60+0/3600</f>
        <v>58.25</v>
      </c>
      <c r="F81" s="223">
        <f>11+27/60+0/3600</f>
        <v>11.45</v>
      </c>
      <c r="G81" s="14"/>
      <c r="H81" s="14"/>
      <c r="I81" s="18">
        <f>-L81</f>
        <v>0.4</v>
      </c>
      <c r="J81" s="10"/>
      <c r="K81" s="10">
        <v>0</v>
      </c>
      <c r="L81" s="44">
        <f>ROUND(0.06*L68+0.94*L83,1)</f>
        <v>-0.4</v>
      </c>
      <c r="M81" s="206">
        <f>ROUND(M68*$O$81/$O$68,2)</f>
        <v>0.19</v>
      </c>
      <c r="N81" s="212">
        <f t="shared" si="4"/>
        <v>0.374</v>
      </c>
      <c r="O81" s="212">
        <f t="shared" si="5"/>
        <v>0.34200000000000003</v>
      </c>
      <c r="P81" s="196"/>
      <c r="Q81" s="5" t="s">
        <v>367</v>
      </c>
      <c r="R81" s="5">
        <v>3</v>
      </c>
      <c r="S81" s="196"/>
      <c r="T81" s="211">
        <v>0.37438800132016403</v>
      </c>
      <c r="U81" s="211">
        <v>0.34225001130343902</v>
      </c>
      <c r="V81" s="196">
        <v>0.36899999999999999</v>
      </c>
      <c r="W81" s="196">
        <v>0.33700000000000002</v>
      </c>
      <c r="X81" s="106"/>
      <c r="Y81" s="106"/>
    </row>
    <row r="82" spans="1:25" ht="12" customHeight="1" x14ac:dyDescent="0.2">
      <c r="A82" s="3" t="s">
        <v>277</v>
      </c>
      <c r="B82" s="3" t="s">
        <v>274</v>
      </c>
      <c r="C82" s="3" t="s">
        <v>275</v>
      </c>
      <c r="D82" s="3" t="s">
        <v>276</v>
      </c>
      <c r="E82" s="223">
        <f>58+20/60+10/3600</f>
        <v>58.336111111111116</v>
      </c>
      <c r="F82" s="223">
        <f>11+24/60+17/3600</f>
        <v>11.404722222222222</v>
      </c>
      <c r="G82" s="35"/>
      <c r="H82" s="35"/>
      <c r="I82" s="43">
        <f>-L82</f>
        <v>0.8</v>
      </c>
      <c r="J82" s="35"/>
      <c r="K82" s="10">
        <v>0</v>
      </c>
      <c r="L82" s="44">
        <f>ROUND(L83,1)</f>
        <v>-0.8</v>
      </c>
      <c r="M82" s="206">
        <f>ROUND(M83,2)</f>
        <v>0.18</v>
      </c>
      <c r="N82" s="212">
        <f t="shared" si="4"/>
        <v>0.38300000000000001</v>
      </c>
      <c r="O82" s="212">
        <f t="shared" si="5"/>
        <v>0.35</v>
      </c>
      <c r="P82" s="46"/>
      <c r="R82" s="12">
        <v>2</v>
      </c>
      <c r="T82" s="211">
        <v>0.38297108146881903</v>
      </c>
      <c r="U82" s="211">
        <v>0.350377746469414</v>
      </c>
      <c r="V82" s="106">
        <v>0.38900000000000001</v>
      </c>
      <c r="W82" s="106">
        <v>0.35599999999999998</v>
      </c>
      <c r="X82" s="106"/>
      <c r="Y82" s="106"/>
    </row>
    <row r="83" spans="1:25" ht="12" customHeight="1" x14ac:dyDescent="0.2">
      <c r="A83" s="3" t="s">
        <v>234</v>
      </c>
      <c r="B83" s="3" t="s">
        <v>147</v>
      </c>
      <c r="C83" s="3" t="s">
        <v>65</v>
      </c>
      <c r="D83" s="3" t="s">
        <v>86</v>
      </c>
      <c r="E83" s="223">
        <f>58+21/60+13/3600</f>
        <v>58.353611111111114</v>
      </c>
      <c r="F83" s="223">
        <f>11+13/60+4/3600</f>
        <v>11.217777777777778</v>
      </c>
      <c r="G83" s="35">
        <v>607</v>
      </c>
      <c r="H83" s="35">
        <v>592.9</v>
      </c>
      <c r="I83" s="35">
        <v>581.79999999999995</v>
      </c>
      <c r="J83" s="35">
        <v>582.4</v>
      </c>
      <c r="K83" s="35">
        <v>360.3</v>
      </c>
      <c r="L83" s="35">
        <v>-0.8</v>
      </c>
      <c r="M83" s="46">
        <v>0.18</v>
      </c>
      <c r="N83" s="212">
        <f t="shared" si="4"/>
        <v>0.376</v>
      </c>
      <c r="O83" s="212">
        <f t="shared" si="5"/>
        <v>0.34399999999999997</v>
      </c>
      <c r="P83" s="46">
        <f>ROUND(O83-M83,2)</f>
        <v>0.16</v>
      </c>
      <c r="Q83" s="12" t="s">
        <v>27</v>
      </c>
      <c r="R83" s="12">
        <v>1</v>
      </c>
      <c r="T83" s="211">
        <v>0.37630362658387601</v>
      </c>
      <c r="U83" s="211">
        <v>0.34398041845194105</v>
      </c>
      <c r="V83" s="106">
        <v>0.38100000000000001</v>
      </c>
      <c r="W83" s="106">
        <v>0.34799999999999998</v>
      </c>
      <c r="X83" s="204">
        <v>0.37472500000000003</v>
      </c>
      <c r="Y83" s="204">
        <v>0.34273100000000001</v>
      </c>
    </row>
    <row r="84" spans="1:25" ht="12" customHeight="1" x14ac:dyDescent="0.2">
      <c r="A84" s="3" t="s">
        <v>235</v>
      </c>
      <c r="B84" s="3" t="s">
        <v>146</v>
      </c>
      <c r="C84" s="3" t="s">
        <v>66</v>
      </c>
      <c r="D84" s="3" t="s">
        <v>87</v>
      </c>
      <c r="E84" s="223">
        <f>58+59/60+48/3600</f>
        <v>58.99666666666667</v>
      </c>
      <c r="F84" s="223">
        <f>11+7/60+38/3600</f>
        <v>11.127222222222223</v>
      </c>
      <c r="G84" s="35">
        <v>808</v>
      </c>
      <c r="H84" s="35">
        <v>790.9</v>
      </c>
      <c r="I84" s="35">
        <v>778.2</v>
      </c>
      <c r="J84" s="35">
        <v>778.8</v>
      </c>
      <c r="K84" s="35">
        <v>578.70000000000005</v>
      </c>
      <c r="L84" s="35">
        <v>-1</v>
      </c>
      <c r="M84" s="46">
        <v>0.2</v>
      </c>
      <c r="N84" s="212">
        <f t="shared" si="4"/>
        <v>0.432</v>
      </c>
      <c r="O84" s="212">
        <f t="shared" si="5"/>
        <v>0.39600000000000002</v>
      </c>
      <c r="P84" s="46">
        <f>ROUND(O84-M84,2)</f>
        <v>0.2</v>
      </c>
      <c r="Q84" s="12" t="s">
        <v>28</v>
      </c>
      <c r="R84" s="12">
        <v>1</v>
      </c>
      <c r="T84" s="211">
        <v>0.43222883744602503</v>
      </c>
      <c r="U84" s="211">
        <v>0.39607387897843105</v>
      </c>
      <c r="V84" s="106">
        <v>0.42499999999999999</v>
      </c>
      <c r="W84" s="106">
        <v>0.38900000000000001</v>
      </c>
      <c r="X84" s="204">
        <v>0.43437900000000002</v>
      </c>
      <c r="Y84" s="204">
        <v>0.39699699999999999</v>
      </c>
    </row>
    <row r="85" spans="1:25" ht="12" customHeight="1" x14ac:dyDescent="0.2"/>
    <row r="86" spans="1:25" ht="12" customHeight="1" x14ac:dyDescent="0.2">
      <c r="C86" s="10"/>
      <c r="D86" s="10"/>
      <c r="E86" s="10"/>
      <c r="F86" s="10"/>
      <c r="K86" s="34"/>
      <c r="L86" s="34"/>
      <c r="M86" s="34"/>
      <c r="N86" s="36"/>
    </row>
    <row r="87" spans="1:25" ht="12" customHeight="1" x14ac:dyDescent="0.2">
      <c r="B87" s="37" t="s">
        <v>34</v>
      </c>
      <c r="C87" s="10"/>
      <c r="D87" s="10"/>
      <c r="E87" s="10"/>
      <c r="F87" s="10"/>
      <c r="G87" s="10"/>
      <c r="H87" s="10"/>
      <c r="I87" s="10"/>
    </row>
    <row r="88" spans="1:25" ht="12" customHeight="1" x14ac:dyDescent="0.2">
      <c r="G88" s="79"/>
      <c r="H88" s="79"/>
      <c r="J88" s="10"/>
    </row>
    <row r="89" spans="1:25" ht="12" customHeight="1" x14ac:dyDescent="0.2">
      <c r="B89" s="3" t="s">
        <v>30</v>
      </c>
      <c r="G89" s="79"/>
    </row>
    <row r="90" spans="1:25" ht="12" customHeight="1" x14ac:dyDescent="0.2">
      <c r="B90" s="13" t="s">
        <v>31</v>
      </c>
    </row>
    <row r="91" spans="1:25" ht="12" customHeight="1" x14ac:dyDescent="0.2">
      <c r="B91" s="13" t="s">
        <v>32</v>
      </c>
    </row>
    <row r="92" spans="1:25" ht="12" customHeight="1" x14ac:dyDescent="0.2">
      <c r="B92" s="13" t="s">
        <v>33</v>
      </c>
    </row>
    <row r="93" spans="1:25" ht="12" customHeight="1" x14ac:dyDescent="0.2">
      <c r="A93" s="17"/>
      <c r="B93" s="13" t="s">
        <v>38</v>
      </c>
      <c r="C93" s="16"/>
      <c r="D93" s="16"/>
      <c r="E93" s="12"/>
      <c r="F93" s="12"/>
      <c r="G93" s="12"/>
      <c r="H93" s="12"/>
      <c r="I93" s="12"/>
      <c r="J93" s="12"/>
      <c r="K93" s="12"/>
      <c r="M93" s="16"/>
      <c r="N93" s="12"/>
      <c r="O93" s="16"/>
    </row>
  </sheetData>
  <phoneticPr fontId="5" type="noConversion"/>
  <pageMargins left="0.75" right="0.75" top="1" bottom="1" header="0.5" footer="0.5"/>
  <pageSetup paperSize="9" orientation="portrait" r:id="rId1"/>
  <headerFooter alignWithMargins="0"/>
  <ignoredErrors>
    <ignoredError sqref="M21 I2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1"/>
  <dimension ref="A1:I104"/>
  <sheetViews>
    <sheetView tabSelected="1" zoomScaleNormal="100" workbookViewId="0">
      <pane xSplit="2" ySplit="8" topLeftCell="C9" activePane="bottomRight" state="frozen"/>
      <selection pane="topRight" activeCell="C1" sqref="C1"/>
      <selection pane="bottomLeft" activeCell="A7" sqref="A7"/>
      <selection pane="bottomRight" activeCell="M6" sqref="M6"/>
    </sheetView>
  </sheetViews>
  <sheetFormatPr defaultColWidth="7.42578125" defaultRowHeight="11.25" x14ac:dyDescent="0.2"/>
  <cols>
    <col min="1" max="1" width="9.140625" style="62" customWidth="1"/>
    <col min="2" max="2" width="29.7109375" style="62" customWidth="1"/>
    <col min="3" max="4" width="7.5703125" style="62" customWidth="1"/>
    <col min="5" max="5" width="5.85546875" style="76" customWidth="1"/>
    <col min="6" max="6" width="5.28515625" style="73" customWidth="1"/>
    <col min="7" max="7" width="6.28515625" style="73" customWidth="1"/>
    <col min="8" max="8" width="7.5703125" style="73" customWidth="1"/>
    <col min="9" max="9" width="9.85546875" style="73" bestFit="1" customWidth="1"/>
    <col min="10" max="16384" width="7.42578125" style="73"/>
  </cols>
  <sheetData>
    <row r="1" spans="1:9" s="61" customFormat="1" ht="11.25" customHeight="1" x14ac:dyDescent="0.2">
      <c r="A1" s="60"/>
      <c r="B1" s="60"/>
      <c r="C1" s="60"/>
      <c r="D1" s="60"/>
    </row>
    <row r="2" spans="1:9" s="61" customFormat="1" ht="11.25" customHeight="1" x14ac:dyDescent="0.2">
      <c r="A2" s="60"/>
      <c r="B2" s="60"/>
      <c r="C2" s="60"/>
      <c r="D2" s="60"/>
    </row>
    <row r="3" spans="1:9" s="61" customFormat="1" ht="11.25" customHeight="1" x14ac:dyDescent="0.2">
      <c r="A3" s="60"/>
      <c r="B3" s="62"/>
      <c r="C3" s="4" t="s">
        <v>2</v>
      </c>
      <c r="D3" s="62"/>
      <c r="E3" s="31">
        <f>stat_uppg!E3</f>
        <v>2021</v>
      </c>
      <c r="G3" s="63"/>
      <c r="H3" s="64"/>
      <c r="I3" s="64"/>
    </row>
    <row r="4" spans="1:9" s="61" customFormat="1" ht="11.25" customHeight="1" x14ac:dyDescent="0.2">
      <c r="A4" s="65"/>
      <c r="B4" s="62"/>
      <c r="C4" s="2" t="str">
        <f>"Beräknat medelvattenstånd för "&amp;TEXT(E3,"0000")&amp;" i olika höjdsystem"</f>
        <v>Beräknat medelvattenstånd för 2021 i olika höjdsystem</v>
      </c>
      <c r="D4" s="62"/>
    </row>
    <row r="5" spans="1:9" s="61" customFormat="1" ht="11.25" customHeight="1" x14ac:dyDescent="0.2">
      <c r="A5" s="65"/>
      <c r="B5" s="62"/>
      <c r="C5" s="2"/>
      <c r="D5" s="62"/>
    </row>
    <row r="6" spans="1:9" s="61" customFormat="1" ht="11.25" customHeight="1" x14ac:dyDescent="0.2">
      <c r="A6" s="65"/>
      <c r="B6" s="62"/>
      <c r="C6" s="2"/>
      <c r="D6" s="62"/>
    </row>
    <row r="7" spans="1:9" s="61" customFormat="1" ht="11.25" customHeight="1" x14ac:dyDescent="0.2">
      <c r="A7" s="60"/>
      <c r="B7" s="7">
        <f ca="1">NOW()</f>
        <v>44284.697198379632</v>
      </c>
      <c r="C7" s="60"/>
      <c r="D7" s="62"/>
      <c r="I7" s="64"/>
    </row>
    <row r="8" spans="1:9" s="64" customFormat="1" ht="57" customHeight="1" thickBot="1" x14ac:dyDescent="0.25">
      <c r="A8" s="66" t="s">
        <v>0</v>
      </c>
      <c r="B8" s="66" t="s">
        <v>1</v>
      </c>
      <c r="C8" s="66" t="s">
        <v>42</v>
      </c>
      <c r="D8" s="66" t="s">
        <v>43</v>
      </c>
      <c r="E8" s="68" t="s">
        <v>7</v>
      </c>
      <c r="F8" s="68" t="s">
        <v>6</v>
      </c>
      <c r="G8" s="68" t="s">
        <v>5</v>
      </c>
      <c r="H8" s="68" t="s">
        <v>88</v>
      </c>
      <c r="I8" s="68" t="s">
        <v>403</v>
      </c>
    </row>
    <row r="9" spans="1:9" s="61" customFormat="1" ht="11.45" customHeight="1" x14ac:dyDescent="0.2">
      <c r="A9" s="62" t="str">
        <f>stat_uppg!A9</f>
        <v>2588/33088</v>
      </c>
      <c r="B9" s="62" t="str">
        <f>stat_uppg!B9</f>
        <v>Haparanda (SMHI) nedlagd</v>
      </c>
      <c r="C9" s="62" t="str">
        <f>stat_uppg!C9</f>
        <v>65° 46' 18''</v>
      </c>
      <c r="D9" s="62" t="str">
        <f>stat_uppg!D9</f>
        <v>23° 54' 11''</v>
      </c>
      <c r="E9" s="70"/>
      <c r="F9" s="70"/>
      <c r="G9" s="70">
        <f>ROUND(stat_uppg!L9-stat_uppg!M9*(stat_uppg!$E$3-2000),1)</f>
        <v>5.9</v>
      </c>
      <c r="H9" s="70"/>
      <c r="I9" s="71">
        <f>stat_uppg!M9</f>
        <v>0.72</v>
      </c>
    </row>
    <row r="10" spans="1:9" s="64" customFormat="1" ht="11.45" customHeight="1" x14ac:dyDescent="0.2">
      <c r="A10" s="62" t="str">
        <f>stat_uppg!A10</f>
        <v>59/35103</v>
      </c>
      <c r="B10" s="62" t="str">
        <f>stat_uppg!B10</f>
        <v>KALIX KARLSBORG (SJÖV)</v>
      </c>
      <c r="C10" s="62" t="str">
        <f>stat_uppg!C10</f>
        <v>65° 47' 20''</v>
      </c>
      <c r="D10" s="62" t="str">
        <f>stat_uppg!D10</f>
        <v>23° 18' 12''</v>
      </c>
      <c r="E10" s="70"/>
      <c r="F10" s="70"/>
      <c r="G10" s="70">
        <f>ROUND(stat_uppg!L10-stat_uppg!M10*(stat_uppg!$E$3-2000),1)</f>
        <v>6.1</v>
      </c>
      <c r="H10" s="70"/>
      <c r="I10" s="71">
        <f>stat_uppg!M10</f>
        <v>0.72</v>
      </c>
    </row>
    <row r="11" spans="1:9" ht="11.45" customHeight="1" x14ac:dyDescent="0.2">
      <c r="A11" s="62" t="str">
        <f>stat_uppg!A11</f>
        <v>2157/33051</v>
      </c>
      <c r="B11" s="62" t="str">
        <f>stat_uppg!B11</f>
        <v>KALIX STORÖN (SMHI)</v>
      </c>
      <c r="C11" s="62" t="str">
        <f>stat_uppg!C11</f>
        <v>65° 41' 49''</v>
      </c>
      <c r="D11" s="62" t="str">
        <f>stat_uppg!D11</f>
        <v>23° 05' 46''</v>
      </c>
      <c r="E11" s="69">
        <f>G11+stat_uppg!I11-stat_uppg!G11</f>
        <v>-97.5</v>
      </c>
      <c r="F11" s="69">
        <f>G11+stat_uppg!I11-stat_uppg!H11</f>
        <v>-17.200000000000045</v>
      </c>
      <c r="G11" s="69">
        <f>ROUND(stat_uppg!L11-stat_uppg!M11*(stat_uppg!$E$3-2000),1)</f>
        <v>5.3</v>
      </c>
      <c r="H11" s="69">
        <f>G11+stat_uppg!I11-stat_uppg!J11</f>
        <v>4.2999999999999545</v>
      </c>
      <c r="I11" s="72">
        <f>stat_uppg!M11</f>
        <v>0.73</v>
      </c>
    </row>
    <row r="12" spans="1:9" ht="11.45" customHeight="1" x14ac:dyDescent="0.2">
      <c r="A12" s="62" t="str">
        <f>stat_uppg!A12</f>
        <v>115/35183</v>
      </c>
      <c r="B12" s="62" t="str">
        <f>stat_uppg!B12</f>
        <v>STRÖMÖREN (SJÖV)</v>
      </c>
      <c r="C12" s="62" t="str">
        <f>stat_uppg!C12</f>
        <v>65° 32' 59''</v>
      </c>
      <c r="D12" s="62" t="str">
        <f>stat_uppg!D12</f>
        <v>22° 14' 18''</v>
      </c>
      <c r="E12" s="69"/>
      <c r="F12" s="69"/>
      <c r="G12" s="70">
        <f>ROUND(stat_uppg!L12-stat_uppg!M12*(stat_uppg!$E$3-2000),1)</f>
        <v>4.4000000000000004</v>
      </c>
      <c r="H12" s="69"/>
      <c r="I12" s="71">
        <f>stat_uppg!M12</f>
        <v>0.75</v>
      </c>
    </row>
    <row r="13" spans="1:9" ht="11.45" customHeight="1" x14ac:dyDescent="0.2">
      <c r="A13" s="62" t="str">
        <f>stat_uppg!A13</f>
        <v>2055/33052</v>
      </c>
      <c r="B13" s="62" t="str">
        <f>stat_uppg!B13</f>
        <v>FURUÖGRUND (SMHI)</v>
      </c>
      <c r="C13" s="62" t="str">
        <f>stat_uppg!C13</f>
        <v>64° 54' 57''</v>
      </c>
      <c r="D13" s="62" t="str">
        <f>stat_uppg!D13</f>
        <v>21° 13' 50''</v>
      </c>
      <c r="E13" s="69">
        <f>G13+stat_uppg!I13-stat_uppg!G13</f>
        <v>-102</v>
      </c>
      <c r="F13" s="69">
        <f>G13+stat_uppg!I13-stat_uppg!H13</f>
        <v>-24.799999999999955</v>
      </c>
      <c r="G13" s="69">
        <f>ROUND(stat_uppg!L13-stat_uppg!M13*(stat_uppg!$E$3-2000),1)</f>
        <v>0.5</v>
      </c>
      <c r="H13" s="69">
        <f>G13+stat_uppg!I13-stat_uppg!J13</f>
        <v>-0.39999999999997726</v>
      </c>
      <c r="I13" s="72">
        <f>stat_uppg!M13</f>
        <v>0.82</v>
      </c>
    </row>
    <row r="14" spans="1:9" ht="11.45" customHeight="1" x14ac:dyDescent="0.2">
      <c r="A14" s="62" t="str">
        <f>stat_uppg!A14</f>
        <v>40/35240</v>
      </c>
      <c r="B14" s="62" t="str">
        <f>stat_uppg!B14</f>
        <v>GÅSÖREN (SJÖV)</v>
      </c>
      <c r="C14" s="62" t="str">
        <f>stat_uppg!C14</f>
        <v>64° 40' 43''</v>
      </c>
      <c r="D14" s="62" t="str">
        <f>stat_uppg!D14</f>
        <v>21° 14' 57''</v>
      </c>
      <c r="E14" s="70"/>
      <c r="F14" s="70"/>
      <c r="G14" s="70">
        <f>ROUND(stat_uppg!L14-stat_uppg!M14*(stat_uppg!$E$3-2000),1)</f>
        <v>0.8</v>
      </c>
      <c r="H14" s="70"/>
      <c r="I14" s="71">
        <f>stat_uppg!M14</f>
        <v>0.82</v>
      </c>
    </row>
    <row r="15" spans="1:9" ht="11.45" customHeight="1" x14ac:dyDescent="0.2">
      <c r="A15" s="62" t="str">
        <f>stat_uppg!A15</f>
        <v>2056/33053</v>
      </c>
      <c r="B15" s="62" t="str">
        <f>stat_uppg!B15</f>
        <v>RATAN (SMHI)</v>
      </c>
      <c r="C15" s="62" t="str">
        <f>stat_uppg!C15</f>
        <v>63° 59' 10''</v>
      </c>
      <c r="D15" s="62" t="str">
        <f>stat_uppg!D15</f>
        <v>20° 53' 42''</v>
      </c>
      <c r="E15" s="69">
        <f>G15+stat_uppg!I15-stat_uppg!G15</f>
        <v>-104.50000000000011</v>
      </c>
      <c r="F15" s="69">
        <f>G15+stat_uppg!I15-stat_uppg!H15</f>
        <v>-25.000000000000114</v>
      </c>
      <c r="G15" s="69">
        <f>ROUND(stat_uppg!L15-stat_uppg!M15*(stat_uppg!$E$3-2000),1)</f>
        <v>2.4</v>
      </c>
      <c r="H15" s="69">
        <f>G15+stat_uppg!I15-stat_uppg!J15</f>
        <v>1.4999999999998863</v>
      </c>
      <c r="I15" s="72">
        <f>stat_uppg!M15</f>
        <v>0.8</v>
      </c>
    </row>
    <row r="16" spans="1:9" ht="11.45" customHeight="1" x14ac:dyDescent="0.2">
      <c r="A16" s="62" t="str">
        <f>stat_uppg!A16</f>
        <v>57/35124</v>
      </c>
      <c r="B16" s="62" t="str">
        <f>stat_uppg!B16</f>
        <v>HOLMSUND (SJÖV)</v>
      </c>
      <c r="C16" s="62" t="str">
        <f>stat_uppg!C16</f>
        <v>63° 41' 45''</v>
      </c>
      <c r="D16" s="62" t="str">
        <f>stat_uppg!D16</f>
        <v>20° 20' 50''</v>
      </c>
      <c r="E16" s="70"/>
      <c r="F16" s="70"/>
      <c r="G16" s="70">
        <f>ROUND(stat_uppg!L16-stat_uppg!M16*(stat_uppg!$E$3-2000),1)</f>
        <v>1.4</v>
      </c>
      <c r="H16" s="70"/>
      <c r="I16" s="71">
        <f>stat_uppg!M16</f>
        <v>0.8</v>
      </c>
    </row>
    <row r="17" spans="1:9" ht="11.45" customHeight="1" x14ac:dyDescent="0.2">
      <c r="A17" s="62" t="str">
        <f>stat_uppg!A17</f>
        <v>2321/33054</v>
      </c>
      <c r="B17" s="62" t="str">
        <f>stat_uppg!B17</f>
        <v>Skagsudde (SMHI) nedlagd</v>
      </c>
      <c r="C17" s="62" t="str">
        <f>stat_uppg!C17</f>
        <v>63° 11' 26''</v>
      </c>
      <c r="D17" s="62" t="str">
        <f>stat_uppg!D17</f>
        <v>19° 00' 45''</v>
      </c>
      <c r="E17" s="70">
        <f>G17+stat_uppg!I17-stat_uppg!G17</f>
        <v>-107</v>
      </c>
      <c r="F17" s="70">
        <f>G17+stat_uppg!I17-stat_uppg!H17</f>
        <v>-28.700000000000045</v>
      </c>
      <c r="G17" s="70">
        <f>ROUND(stat_uppg!L17-stat_uppg!M17*(stat_uppg!$E$3-2000),1)</f>
        <v>-0.4</v>
      </c>
      <c r="H17" s="70">
        <f>G17+stat_uppg!I17-stat_uppg!J17</f>
        <v>-1.2999999999999545</v>
      </c>
      <c r="I17" s="71">
        <f>stat_uppg!M17</f>
        <v>0.8</v>
      </c>
    </row>
    <row r="18" spans="1:9" ht="11.45" customHeight="1" x14ac:dyDescent="0.2">
      <c r="A18" s="62" t="str">
        <f>stat_uppg!A18</f>
        <v>110/35138</v>
      </c>
      <c r="B18" s="62" t="str">
        <f>stat_uppg!B18</f>
        <v>SKAGSUDDE2 (SJÖV)</v>
      </c>
      <c r="C18" s="62" t="str">
        <f>stat_uppg!C18</f>
        <v>63° 11' 26''</v>
      </c>
      <c r="D18" s="62" t="str">
        <f>stat_uppg!D18</f>
        <v>19° 00' 45''</v>
      </c>
      <c r="E18" s="69"/>
      <c r="F18" s="69"/>
      <c r="G18" s="69">
        <f>ROUND(stat_uppg!L18-stat_uppg!M18*(stat_uppg!$E$3-2000),1)</f>
        <v>-0.4</v>
      </c>
      <c r="H18" s="69"/>
      <c r="I18" s="72">
        <f>stat_uppg!M18</f>
        <v>0.8</v>
      </c>
    </row>
    <row r="19" spans="1:9" ht="11.45" customHeight="1" x14ac:dyDescent="0.2">
      <c r="A19" s="62" t="str">
        <f>stat_uppg!A19</f>
        <v>172/35209</v>
      </c>
      <c r="B19" s="62" t="str">
        <f>stat_uppg!B19</f>
        <v>LUNDE (SJÖV)</v>
      </c>
      <c r="C19" s="62" t="str">
        <f>stat_uppg!C19</f>
        <v>62° 52' 50''</v>
      </c>
      <c r="D19" s="62" t="str">
        <f>stat_uppg!D19</f>
        <v>17° 52' 35''</v>
      </c>
      <c r="E19" s="70"/>
      <c r="F19" s="70"/>
      <c r="G19" s="70">
        <f>ROUND(stat_uppg!L19-stat_uppg!M19*(stat_uppg!$E$3-2000),1)</f>
        <v>0.1</v>
      </c>
      <c r="H19" s="70"/>
      <c r="I19" s="71">
        <f>stat_uppg!M19</f>
        <v>0.77</v>
      </c>
    </row>
    <row r="20" spans="1:9" ht="11.45" customHeight="1" x14ac:dyDescent="0.2">
      <c r="A20" s="62" t="str">
        <f>stat_uppg!A20</f>
        <v>2062/33074</v>
      </c>
      <c r="B20" s="62" t="str">
        <f>stat_uppg!B20</f>
        <v>Draghällan (SMHI) nedlagd</v>
      </c>
      <c r="C20" s="62" t="str">
        <f>stat_uppg!C20</f>
        <v>62° 20' 00''</v>
      </c>
      <c r="D20" s="62" t="str">
        <f>stat_uppg!D20</f>
        <v>17° 28' 00''</v>
      </c>
      <c r="E20" s="70">
        <f>G20+stat_uppg!I20-stat_uppg!G20</f>
        <v>-96.299999999999955</v>
      </c>
      <c r="F20" s="70">
        <f>G20+stat_uppg!I20-stat_uppg!H20</f>
        <v>-27.299999999999955</v>
      </c>
      <c r="G20" s="70">
        <f>ROUND(stat_uppg!L20-stat_uppg!M20*(stat_uppg!$E$3-2000),1)</f>
        <v>0.7</v>
      </c>
      <c r="H20" s="69"/>
      <c r="I20" s="71">
        <f>stat_uppg!M20</f>
        <v>0.74</v>
      </c>
    </row>
    <row r="21" spans="1:9" ht="11.45" customHeight="1" x14ac:dyDescent="0.2">
      <c r="A21" s="62" t="str">
        <f>stat_uppg!A21</f>
        <v>2061/33055</v>
      </c>
      <c r="B21" s="62" t="str">
        <f>stat_uppg!B21</f>
        <v>SPIKARNA (SMHI)</v>
      </c>
      <c r="C21" s="62" t="str">
        <f>stat_uppg!C21</f>
        <v>62° 21' 48''</v>
      </c>
      <c r="D21" s="62" t="str">
        <f>stat_uppg!D21</f>
        <v>17° 31' 52''</v>
      </c>
      <c r="E21" s="69">
        <f>G21+stat_uppg!I21-stat_uppg!G21</f>
        <v>-96.299999999999955</v>
      </c>
      <c r="F21" s="69">
        <f>G21+stat_uppg!I21-stat_uppg!H21</f>
        <v>-27.5</v>
      </c>
      <c r="G21" s="69">
        <f>ROUND(stat_uppg!L21-stat_uppg!M21*(stat_uppg!$E$3-2000),1)</f>
        <v>0.7</v>
      </c>
      <c r="H21" s="69">
        <f>G21+stat_uppg!I21-stat_uppg!J21</f>
        <v>-9.9999999999909051E-2</v>
      </c>
      <c r="I21" s="72">
        <f>stat_uppg!M21</f>
        <v>0.74</v>
      </c>
    </row>
    <row r="22" spans="1:9" ht="11.45" customHeight="1" x14ac:dyDescent="0.2">
      <c r="A22" s="62" t="str">
        <f>stat_uppg!A22</f>
        <v>66/35127</v>
      </c>
      <c r="B22" s="62" t="str">
        <f>stat_uppg!B22</f>
        <v>LJUSNE ORRSKÄRSKAJEN (SJÖV)</v>
      </c>
      <c r="C22" s="62" t="str">
        <f>stat_uppg!C22</f>
        <v>61° 12' 25''</v>
      </c>
      <c r="D22" s="62" t="str">
        <f>stat_uppg!D22</f>
        <v>17° 08' 44''</v>
      </c>
      <c r="E22" s="70"/>
      <c r="F22" s="70"/>
      <c r="G22" s="70">
        <f>ROUND(stat_uppg!L22-stat_uppg!M22*(stat_uppg!$E$3-2000),1)</f>
        <v>3.5</v>
      </c>
      <c r="H22" s="70"/>
      <c r="I22" s="71">
        <f>stat_uppg!M22</f>
        <v>0.64</v>
      </c>
    </row>
    <row r="23" spans="1:9" ht="11.45" customHeight="1" x14ac:dyDescent="0.2">
      <c r="A23" s="62" t="str">
        <f>stat_uppg!A23</f>
        <v>33/35119</v>
      </c>
      <c r="B23" s="62" t="str">
        <f>stat_uppg!B23</f>
        <v>BÖNAN (SJÖV)</v>
      </c>
      <c r="C23" s="62" t="str">
        <f>stat_uppg!C23</f>
        <v>60° 44' 19''</v>
      </c>
      <c r="D23" s="62" t="str">
        <f>stat_uppg!D23</f>
        <v>17° 19' 07''</v>
      </c>
      <c r="E23" s="70"/>
      <c r="F23" s="70"/>
      <c r="G23" s="70">
        <f>ROUND(stat_uppg!L23-stat_uppg!M23*(stat_uppg!$E$3-2000),1)</f>
        <v>5</v>
      </c>
      <c r="H23" s="70"/>
      <c r="I23" s="71">
        <f>stat_uppg!M23</f>
        <v>0.57999999999999996</v>
      </c>
    </row>
    <row r="24" spans="1:9" ht="11.45" customHeight="1" x14ac:dyDescent="0.2">
      <c r="A24" s="62" t="str">
        <f>stat_uppg!A24</f>
        <v>2067/33075</v>
      </c>
      <c r="B24" s="62" t="str">
        <f>stat_uppg!B24</f>
        <v>Björn (SMHI) nedlagd</v>
      </c>
      <c r="C24" s="62" t="str">
        <f>stat_uppg!C24</f>
        <v>60° 38' 00''</v>
      </c>
      <c r="D24" s="62" t="str">
        <f>stat_uppg!D24</f>
        <v>17° 58' 00''</v>
      </c>
      <c r="E24" s="70">
        <f>G24+stat_uppg!I24-stat_uppg!G24</f>
        <v>-66.199999999999932</v>
      </c>
      <c r="F24" s="70">
        <f>G24+stat_uppg!I24-stat_uppg!H24</f>
        <v>-10.799999999999955</v>
      </c>
      <c r="G24" s="70">
        <f>ROUND(stat_uppg!L24-stat_uppg!M24*(stat_uppg!$E$3-2000),1)</f>
        <v>5.6</v>
      </c>
      <c r="H24" s="69"/>
      <c r="I24" s="71">
        <f>stat_uppg!M24</f>
        <v>0.56000000000000005</v>
      </c>
    </row>
    <row r="25" spans="1:9" ht="11.45" customHeight="1" x14ac:dyDescent="0.2">
      <c r="A25" s="62" t="str">
        <f>stat_uppg!A25</f>
        <v>2179/33056</v>
      </c>
      <c r="B25" s="62" t="str">
        <f>stat_uppg!B25</f>
        <v>FORSMARK (SMHI)</v>
      </c>
      <c r="C25" s="62" t="str">
        <f>stat_uppg!C25</f>
        <v>60° 24' 31''</v>
      </c>
      <c r="D25" s="62" t="str">
        <f>stat_uppg!D25</f>
        <v>18° 12' 39''</v>
      </c>
      <c r="E25" s="69">
        <f>G25+stat_uppg!I25-stat_uppg!G25</f>
        <v>-65.5</v>
      </c>
      <c r="F25" s="69">
        <f>G25+stat_uppg!I25-stat_uppg!H25</f>
        <v>-12.100000000000023</v>
      </c>
      <c r="G25" s="69">
        <f>ROUND(stat_uppg!L25-stat_uppg!M25*(stat_uppg!$E$3-2000),1)</f>
        <v>6.3</v>
      </c>
      <c r="H25" s="69">
        <f>G25+stat_uppg!I25-stat_uppg!J25</f>
        <v>5.7000000000000455</v>
      </c>
      <c r="I25" s="72">
        <f>stat_uppg!M25</f>
        <v>0.53</v>
      </c>
    </row>
    <row r="26" spans="1:9" ht="11.45" customHeight="1" x14ac:dyDescent="0.2">
      <c r="A26" s="62" t="str">
        <f>stat_uppg!A26</f>
        <v>?/?</v>
      </c>
      <c r="B26" s="62" t="str">
        <f>stat_uppg!B26</f>
        <v>KAPELLSKÄR (SJÖV) planerad</v>
      </c>
      <c r="C26" s="62" t="str">
        <f>stat_uppg!C26</f>
        <v>60° 43' 09''</v>
      </c>
      <c r="D26" s="62" t="str">
        <f>stat_uppg!D26</f>
        <v>19° 04' 08''</v>
      </c>
      <c r="E26" s="69"/>
      <c r="F26" s="69"/>
      <c r="G26" s="70">
        <f>ROUND(stat_uppg!L26-stat_uppg!M26*(stat_uppg!$E$3-2000),1)</f>
        <v>8.4</v>
      </c>
      <c r="H26" s="69"/>
      <c r="I26" s="71">
        <f>stat_uppg!M26</f>
        <v>0.4</v>
      </c>
    </row>
    <row r="27" spans="1:9" ht="11.45" customHeight="1" x14ac:dyDescent="0.2">
      <c r="A27" s="62" t="str">
        <f>stat_uppg!A27</f>
        <v>67/35154</v>
      </c>
      <c r="B27" s="62" t="str">
        <f>stat_uppg!B27</f>
        <v>LOUDDEN (SJÖV)</v>
      </c>
      <c r="C27" s="62" t="str">
        <f>stat_uppg!C27</f>
        <v>59° 20' 29''</v>
      </c>
      <c r="D27" s="62" t="str">
        <f>stat_uppg!D27</f>
        <v>18° 08' 14''</v>
      </c>
      <c r="E27" s="69"/>
      <c r="F27" s="69"/>
      <c r="G27" s="70">
        <f>ROUND(stat_uppg!L27-stat_uppg!M27*(stat_uppg!$E$3-2000),1)</f>
        <v>8.4</v>
      </c>
      <c r="H27" s="69"/>
      <c r="I27" s="71">
        <f>stat_uppg!M27</f>
        <v>0.38</v>
      </c>
    </row>
    <row r="28" spans="1:9" ht="11.45" customHeight="1" x14ac:dyDescent="0.2">
      <c r="A28" s="62" t="str">
        <f>stat_uppg!A28</f>
        <v>2069/33057</v>
      </c>
      <c r="B28" s="62" t="str">
        <f>stat_uppg!B28</f>
        <v>STOCKHOLM (SMHI)</v>
      </c>
      <c r="C28" s="62" t="str">
        <f>stat_uppg!C28</f>
        <v>59° 19' 27''</v>
      </c>
      <c r="D28" s="62" t="str">
        <f>stat_uppg!D28</f>
        <v>18° 04' 55''</v>
      </c>
      <c r="E28" s="69">
        <f>G28+stat_uppg!I28-stat_uppg!G28</f>
        <v>-43.799999999999955</v>
      </c>
      <c r="F28" s="69">
        <f>G28+stat_uppg!I28-stat_uppg!H28</f>
        <v>-7.7999999999999545</v>
      </c>
      <c r="G28" s="69">
        <f>ROUND(stat_uppg!L28-stat_uppg!M28*(stat_uppg!$E$3-2000),1)</f>
        <v>8.5</v>
      </c>
      <c r="H28" s="69">
        <f>G28+stat_uppg!I28-stat_uppg!J28</f>
        <v>7.8000000000000682</v>
      </c>
      <c r="I28" s="72">
        <f>stat_uppg!M28</f>
        <v>0.38</v>
      </c>
    </row>
    <row r="29" spans="1:9" ht="11.45" customHeight="1" x14ac:dyDescent="0.2">
      <c r="A29" s="62" t="str">
        <f>stat_uppg!A29</f>
        <v>173/35112</v>
      </c>
      <c r="B29" s="62" t="str">
        <f>stat_uppg!B29</f>
        <v>NYNÄS FISKEHAMN (SJÖV)</v>
      </c>
      <c r="C29" s="62" t="str">
        <f>stat_uppg!C29</f>
        <v>58° 55' 03''</v>
      </c>
      <c r="D29" s="62" t="str">
        <f>stat_uppg!D29</f>
        <v>17° 58' 20''</v>
      </c>
      <c r="E29" s="70"/>
      <c r="F29" s="70"/>
      <c r="G29" s="70">
        <f>ROUND(stat_uppg!L29-stat_uppg!M29*(stat_uppg!$E$3-2000),1)</f>
        <v>8.1</v>
      </c>
      <c r="H29" s="70"/>
      <c r="I29" s="71">
        <f>stat_uppg!M29</f>
        <v>0.31</v>
      </c>
    </row>
    <row r="30" spans="1:9" ht="11.45" customHeight="1" x14ac:dyDescent="0.2">
      <c r="A30" s="62" t="str">
        <f>stat_uppg!A30</f>
        <v>2507/33058</v>
      </c>
      <c r="B30" s="62" t="str">
        <f>stat_uppg!B30</f>
        <v>LANDSORT NORRA (SMHI)</v>
      </c>
      <c r="C30" s="62" t="str">
        <f>stat_uppg!C30</f>
        <v>58° 46' 08''</v>
      </c>
      <c r="D30" s="62" t="str">
        <f>stat_uppg!D30</f>
        <v>17° 51' 32''</v>
      </c>
      <c r="E30" s="69">
        <f>G30+stat_uppg!I30-stat_uppg!G30</f>
        <v>-39.900000000000091</v>
      </c>
      <c r="F30" s="69">
        <f>G30+stat_uppg!I30-stat_uppg!H30</f>
        <v>-5.4000000000000909</v>
      </c>
      <c r="G30" s="69">
        <f>ROUND(stat_uppg!L30-stat_uppg!M30*(stat_uppg!$E$3-2000),1)</f>
        <v>8.3000000000000007</v>
      </c>
      <c r="H30" s="69">
        <f>G30+stat_uppg!I30-stat_uppg!J30</f>
        <v>7.5999999999999091</v>
      </c>
      <c r="I30" s="72">
        <f>stat_uppg!M30</f>
        <v>0.28999999999999998</v>
      </c>
    </row>
    <row r="31" spans="1:9" ht="11.45" customHeight="1" x14ac:dyDescent="0.2">
      <c r="A31" s="62" t="str">
        <f>stat_uppg!A31</f>
        <v>2073/33076</v>
      </c>
      <c r="B31" s="62" t="str">
        <f>stat_uppg!B31</f>
        <v>Landsort (SMHI) nedlagd</v>
      </c>
      <c r="C31" s="62" t="str">
        <f>stat_uppg!C31</f>
        <v>58° 45' 00''</v>
      </c>
      <c r="D31" s="62" t="str">
        <f>stat_uppg!D31</f>
        <v>17° 52' 00''</v>
      </c>
      <c r="E31" s="70">
        <f>G31+stat_uppg!I31-stat_uppg!G31</f>
        <v>-39.900000000000091</v>
      </c>
      <c r="F31" s="70">
        <f>G31+stat_uppg!I31-stat_uppg!H31</f>
        <v>-5.3000000000000682</v>
      </c>
      <c r="G31" s="70">
        <f>ROUND(stat_uppg!L31-stat_uppg!M31*(stat_uppg!$E$3-2000),1)</f>
        <v>8.3000000000000007</v>
      </c>
      <c r="H31" s="70">
        <f>G31+stat_uppg!I31-stat_uppg!J31</f>
        <v>8.1999999999999318</v>
      </c>
      <c r="I31" s="71">
        <f>stat_uppg!M31</f>
        <v>0.28999999999999998</v>
      </c>
    </row>
    <row r="32" spans="1:9" ht="11.45" customHeight="1" x14ac:dyDescent="0.2">
      <c r="A32" s="62" t="str">
        <f>stat_uppg!A32</f>
        <v>34/35185</v>
      </c>
      <c r="B32" s="62" t="str">
        <f>stat_uppg!B32</f>
        <v>E4 BRON SÖDERTÄLJE (SJÖV)</v>
      </c>
      <c r="C32" s="62" t="str">
        <f>stat_uppg!C32</f>
        <v>59° 11' 05''</v>
      </c>
      <c r="D32" s="62" t="str">
        <f>stat_uppg!D32</f>
        <v>17° 38' 34''</v>
      </c>
      <c r="E32" s="70"/>
      <c r="F32" s="70"/>
      <c r="G32" s="70">
        <f>ROUND(stat_uppg!L32-stat_uppg!M32*(stat_uppg!$E$3-2000),1)</f>
        <v>8.1999999999999993</v>
      </c>
      <c r="H32" s="70"/>
      <c r="I32" s="71">
        <f>stat_uppg!M32</f>
        <v>0.33</v>
      </c>
    </row>
    <row r="33" spans="1:9" ht="11.45" customHeight="1" x14ac:dyDescent="0.2">
      <c r="A33" s="62" t="str">
        <f>stat_uppg!A33</f>
        <v>10/35118</v>
      </c>
      <c r="B33" s="62" t="str">
        <f>stat_uppg!B33</f>
        <v>OXELÖSUND VINTERKLASEN (SJÖV)</v>
      </c>
      <c r="C33" s="62" t="str">
        <f>stat_uppg!C33</f>
        <v>58° 39' 42''</v>
      </c>
      <c r="D33" s="62" t="str">
        <f>stat_uppg!D33</f>
        <v>17° 07' 29''</v>
      </c>
      <c r="E33" s="70"/>
      <c r="F33" s="70"/>
      <c r="G33" s="70">
        <f>ROUND(stat_uppg!L33-stat_uppg!M33*(stat_uppg!$E$3-2000),1)</f>
        <v>9.3000000000000007</v>
      </c>
      <c r="H33" s="70"/>
      <c r="I33" s="71">
        <f>stat_uppg!M33</f>
        <v>0.26</v>
      </c>
    </row>
    <row r="34" spans="1:9" ht="11.45" customHeight="1" x14ac:dyDescent="0.2">
      <c r="A34" s="62" t="str">
        <f>stat_uppg!A34</f>
        <v>58/35101</v>
      </c>
      <c r="B34" s="62" t="str">
        <f>stat_uppg!B34</f>
        <v>JUTEN (SJÖV)</v>
      </c>
      <c r="C34" s="62" t="str">
        <f>stat_uppg!C34</f>
        <v>58° 38' 03''</v>
      </c>
      <c r="D34" s="62" t="str">
        <f>stat_uppg!D34</f>
        <v>16° 19' 29''</v>
      </c>
      <c r="E34" s="70"/>
      <c r="F34" s="70"/>
      <c r="G34" s="70">
        <f>ROUND(stat_uppg!L34-stat_uppg!M34*(stat_uppg!$E$3-2000),1)</f>
        <v>9.8000000000000007</v>
      </c>
      <c r="H34" s="70"/>
      <c r="I34" s="71">
        <f>stat_uppg!M34</f>
        <v>0.25</v>
      </c>
    </row>
    <row r="35" spans="1:9" ht="11.45" customHeight="1" x14ac:dyDescent="0.2">
      <c r="A35" s="62" t="str">
        <f>stat_uppg!A35</f>
        <v>2076/33059</v>
      </c>
      <c r="B35" s="62" t="str">
        <f>stat_uppg!B35</f>
        <v>Marviken (SMHI) nedlagd</v>
      </c>
      <c r="C35" s="62" t="str">
        <f>stat_uppg!C35</f>
        <v>58° 33' 13''</v>
      </c>
      <c r="D35" s="62" t="str">
        <f>stat_uppg!D35</f>
        <v>16° 50' 14''</v>
      </c>
      <c r="E35" s="70">
        <f>G35+stat_uppg!I35-stat_uppg!G35</f>
        <v>-28</v>
      </c>
      <c r="F35" s="70">
        <f>G35+stat_uppg!I35-stat_uppg!H35</f>
        <v>-6.7999999999999545</v>
      </c>
      <c r="G35" s="70">
        <f>ROUND(stat_uppg!L35-stat_uppg!M35*(stat_uppg!$E$3-2000),1)</f>
        <v>9.8000000000000007</v>
      </c>
      <c r="H35" s="70"/>
      <c r="I35" s="71">
        <f>stat_uppg!M35</f>
        <v>0.25</v>
      </c>
    </row>
    <row r="36" spans="1:9" ht="11.45" customHeight="1" x14ac:dyDescent="0.2">
      <c r="A36" s="62" t="str">
        <f>stat_uppg!A36</f>
        <v>2545/33085</v>
      </c>
      <c r="B36" s="62" t="str">
        <f>stat_uppg!B36</f>
        <v>ARKÖ (SMHI)</v>
      </c>
      <c r="C36" s="62" t="str">
        <f>stat_uppg!C36</f>
        <v>58° 29' 03''</v>
      </c>
      <c r="D36" s="62" t="str">
        <f>stat_uppg!D36</f>
        <v>16° 57' 38''</v>
      </c>
      <c r="E36" s="70">
        <f>G36+stat_uppg!I36-stat_uppg!G36</f>
        <v>-27.999999999999954</v>
      </c>
      <c r="F36" s="70">
        <f>G36+stat_uppg!I36-stat_uppg!H36</f>
        <v>-6.7999999999999083</v>
      </c>
      <c r="G36" s="69">
        <f>ROUND(stat_uppg!L36-stat_uppg!M36*(stat_uppg!$E$3-2000),1)</f>
        <v>9.8000000000000007</v>
      </c>
      <c r="H36" s="69"/>
      <c r="I36" s="72">
        <f>stat_uppg!M36</f>
        <v>0.25</v>
      </c>
    </row>
    <row r="37" spans="1:9" ht="11.45" customHeight="1" x14ac:dyDescent="0.2">
      <c r="A37" s="62" t="str">
        <f>stat_uppg!A37</f>
        <v>93/35151</v>
      </c>
      <c r="B37" s="62" t="str">
        <f>stat_uppg!B37</f>
        <v>VÄSTERVIK (SJÖV)</v>
      </c>
      <c r="C37" s="62" t="str">
        <f>stat_uppg!C37</f>
        <v>57° 44' 54''</v>
      </c>
      <c r="D37" s="62" t="str">
        <f>stat_uppg!D37</f>
        <v>16° 40' 31''</v>
      </c>
      <c r="E37" s="70"/>
      <c r="F37" s="70"/>
      <c r="G37" s="70">
        <f>ROUND(stat_uppg!L37-stat_uppg!M37*(stat_uppg!$E$3-2000),1)</f>
        <v>11</v>
      </c>
      <c r="H37" s="70"/>
      <c r="I37" s="71">
        <f>stat_uppg!M37</f>
        <v>0.16</v>
      </c>
    </row>
    <row r="38" spans="1:9" ht="11.45" customHeight="1" x14ac:dyDescent="0.2">
      <c r="A38" s="62" t="str">
        <f>stat_uppg!A38</f>
        <v>81/35114</v>
      </c>
      <c r="B38" s="62" t="str">
        <f>stat_uppg!B38</f>
        <v>SLITE (SJÖV)</v>
      </c>
      <c r="C38" s="62" t="str">
        <f>stat_uppg!C38</f>
        <v>57° 42' 21''</v>
      </c>
      <c r="D38" s="62" t="str">
        <f>stat_uppg!D38</f>
        <v>18° 48' 36''</v>
      </c>
      <c r="E38" s="70"/>
      <c r="F38" s="70"/>
      <c r="G38" s="70">
        <f>ROUND(stat_uppg!L38-stat_uppg!M38*(stat_uppg!$E$3-2000),1)</f>
        <v>9</v>
      </c>
      <c r="H38" s="70"/>
      <c r="I38" s="71">
        <f>stat_uppg!M38</f>
        <v>0.12</v>
      </c>
    </row>
    <row r="39" spans="1:9" ht="11.45" customHeight="1" x14ac:dyDescent="0.2">
      <c r="A39" s="62" t="str">
        <f>stat_uppg!A39</f>
        <v>2080/33060</v>
      </c>
      <c r="B39" s="62" t="str">
        <f>stat_uppg!B39</f>
        <v>VISBY (SMHI)</v>
      </c>
      <c r="C39" s="62" t="str">
        <f>stat_uppg!C39</f>
        <v>57° 38' 21''</v>
      </c>
      <c r="D39" s="62" t="str">
        <f>stat_uppg!D39</f>
        <v>18° 17' 04''</v>
      </c>
      <c r="E39" s="69">
        <f>G39+stat_uppg!I39-stat_uppg!G39</f>
        <v>-15.200000000000045</v>
      </c>
      <c r="F39" s="69">
        <f>G39+stat_uppg!I39-stat_uppg!H39</f>
        <v>1.5999999999999091</v>
      </c>
      <c r="G39" s="69">
        <f>ROUND(stat_uppg!L39-stat_uppg!M39*(stat_uppg!$E$3-2000),1)</f>
        <v>9</v>
      </c>
      <c r="H39" s="69">
        <f>G39+stat_uppg!I39-stat_uppg!J39</f>
        <v>8.3999999999999773</v>
      </c>
      <c r="I39" s="72">
        <f>stat_uppg!M39</f>
        <v>0.12</v>
      </c>
    </row>
    <row r="40" spans="1:9" ht="11.45" customHeight="1" x14ac:dyDescent="0.2">
      <c r="A40" s="62" t="str">
        <f>stat_uppg!A40</f>
        <v>77/35200</v>
      </c>
      <c r="B40" s="62" t="str">
        <f>stat_uppg!B40</f>
        <v>SIMPEVARP (SKB)</v>
      </c>
      <c r="C40" s="62" t="str">
        <f>stat_uppg!C40</f>
        <v>57° 24' 37''</v>
      </c>
      <c r="D40" s="62" t="str">
        <f>stat_uppg!D40</f>
        <v>16° 40' 33''</v>
      </c>
      <c r="E40" s="70"/>
      <c r="F40" s="70"/>
      <c r="G40" s="70">
        <f>ROUND(stat_uppg!L40-stat_uppg!M40*(stat_uppg!$E$3-2000),1)</f>
        <v>11.7</v>
      </c>
      <c r="H40" s="70"/>
      <c r="I40" s="71">
        <f>stat_uppg!M40</f>
        <v>0.12</v>
      </c>
    </row>
    <row r="41" spans="1:9" ht="11.45" customHeight="1" x14ac:dyDescent="0.2">
      <c r="A41" s="62" t="str">
        <f>stat_uppg!A41</f>
        <v>2083/33061</v>
      </c>
      <c r="B41" s="62" t="str">
        <f>stat_uppg!B41</f>
        <v>ÖLANDS NORRA UDDE (SMHI)</v>
      </c>
      <c r="C41" s="62" t="str">
        <f>stat_uppg!C41</f>
        <v>57° 21' 58''</v>
      </c>
      <c r="D41" s="62" t="str">
        <f>stat_uppg!D41</f>
        <v>17° 05' 50''</v>
      </c>
      <c r="E41" s="69">
        <f>G41+stat_uppg!I41-stat_uppg!G41</f>
        <v>-4.2999999999999545</v>
      </c>
      <c r="F41" s="69">
        <f>G41+stat_uppg!I41-stat_uppg!H41</f>
        <v>-3.6999999999999318</v>
      </c>
      <c r="G41" s="69">
        <f>ROUND(stat_uppg!L41-stat_uppg!M41*(stat_uppg!$E$3-2000),1)</f>
        <v>11.6</v>
      </c>
      <c r="H41" s="69">
        <f>G41+stat_uppg!I41-stat_uppg!J41</f>
        <v>11.000000000000114</v>
      </c>
      <c r="I41" s="72">
        <f>stat_uppg!M41</f>
        <v>0.12</v>
      </c>
    </row>
    <row r="42" spans="1:9" ht="11.45" customHeight="1" x14ac:dyDescent="0.2">
      <c r="A42" s="62" t="str">
        <f>stat_uppg!A42</f>
        <v>2085/33062</v>
      </c>
      <c r="B42" s="62" t="str">
        <f>stat_uppg!B42</f>
        <v>OSKARSHAMN (SMHI)</v>
      </c>
      <c r="C42" s="62" t="str">
        <f>stat_uppg!C42</f>
        <v>57° 16' 30''</v>
      </c>
      <c r="D42" s="62" t="str">
        <f>stat_uppg!D42</f>
        <v>16° 28' 41''</v>
      </c>
      <c r="E42" s="69">
        <f>G42+stat_uppg!I42-stat_uppg!G42</f>
        <v>-4.5</v>
      </c>
      <c r="F42" s="69">
        <f>G42+stat_uppg!I42-stat_uppg!H42</f>
        <v>-3.2999999999999545</v>
      </c>
      <c r="G42" s="69">
        <f>ROUND(stat_uppg!L42-stat_uppg!M42*(stat_uppg!$E$3-2000),1)</f>
        <v>12</v>
      </c>
      <c r="H42" s="69">
        <f>G42+stat_uppg!I42-stat_uppg!J42</f>
        <v>11.399999999999977</v>
      </c>
      <c r="I42" s="72">
        <f>stat_uppg!M42</f>
        <v>0.1</v>
      </c>
    </row>
    <row r="43" spans="1:9" ht="11.45" customHeight="1" x14ac:dyDescent="0.2">
      <c r="A43" s="62" t="str">
        <f>stat_uppg!A43</f>
        <v>60/35105</v>
      </c>
      <c r="B43" s="62" t="str">
        <f>stat_uppg!B43</f>
        <v>KALMAR (SJÖV)</v>
      </c>
      <c r="C43" s="62" t="str">
        <f>stat_uppg!C43</f>
        <v>56° 39' 32''</v>
      </c>
      <c r="D43" s="62" t="str">
        <f>stat_uppg!D43</f>
        <v>16° 22' 42''</v>
      </c>
      <c r="E43" s="70"/>
      <c r="F43" s="70"/>
      <c r="G43" s="70">
        <f>ROUND(stat_uppg!L43-stat_uppg!M43*(stat_uppg!$E$3-2000),1)</f>
        <v>12.5</v>
      </c>
      <c r="H43" s="70"/>
      <c r="I43" s="71">
        <f>stat_uppg!M43</f>
        <v>0.06</v>
      </c>
    </row>
    <row r="44" spans="1:9" ht="11.45" customHeight="1" x14ac:dyDescent="0.2">
      <c r="A44" s="62" t="str">
        <f>stat_uppg!A44</f>
        <v>2088/33063</v>
      </c>
      <c r="B44" s="62" t="str">
        <f>stat_uppg!B44</f>
        <v>KUNGSHOLMSFORT (SMHI)</v>
      </c>
      <c r="C44" s="62" t="str">
        <f>stat_uppg!C44</f>
        <v>56° 06' 19''</v>
      </c>
      <c r="D44" s="62" t="str">
        <f>stat_uppg!D44</f>
        <v>15° 35' 22''</v>
      </c>
      <c r="E44" s="69">
        <f>G44+stat_uppg!I44-stat_uppg!G44</f>
        <v>4.5999999999999091</v>
      </c>
      <c r="F44" s="69">
        <f>G44+stat_uppg!I44-stat_uppg!H44</f>
        <v>0.79999999999995453</v>
      </c>
      <c r="G44" s="69">
        <f>ROUND(stat_uppg!L44-stat_uppg!M44*(stat_uppg!$E$3-2000),1)</f>
        <v>13.3</v>
      </c>
      <c r="H44" s="69">
        <f>G44+stat_uppg!I44-stat_uppg!J44</f>
        <v>12.599999999999909</v>
      </c>
      <c r="I44" s="72">
        <f>stat_uppg!M44</f>
        <v>0.01</v>
      </c>
    </row>
    <row r="45" spans="1:9" ht="11.45" customHeight="1" x14ac:dyDescent="0.2">
      <c r="A45" s="62" t="str">
        <f>stat_uppg!A45</f>
        <v>61/35131</v>
      </c>
      <c r="B45" s="62" t="str">
        <f>stat_uppg!B45</f>
        <v>KARLSHAMN (SJÖV)</v>
      </c>
      <c r="C45" s="62" t="str">
        <f>stat_uppg!C45</f>
        <v>56° 09' 15''</v>
      </c>
      <c r="D45" s="62" t="str">
        <f>stat_uppg!D45</f>
        <v>14° 49' 17''</v>
      </c>
      <c r="E45" s="70"/>
      <c r="F45" s="70"/>
      <c r="G45" s="70">
        <f>ROUND(stat_uppg!L45-stat_uppg!M45*(stat_uppg!$E$3-2000),1)</f>
        <v>13.8</v>
      </c>
      <c r="H45" s="70"/>
      <c r="I45" s="71">
        <f>stat_uppg!M45</f>
        <v>-0.01</v>
      </c>
    </row>
    <row r="46" spans="1:9" ht="11.45" customHeight="1" x14ac:dyDescent="0.2">
      <c r="A46" s="62" t="str">
        <f>stat_uppg!A46</f>
        <v>2543/33083</v>
      </c>
      <c r="B46" s="62" t="str">
        <f>stat_uppg!B46</f>
        <v>Åhus (SMHI) nedlagd</v>
      </c>
      <c r="C46" s="62" t="str">
        <f>stat_uppg!C46</f>
        <v>55° 55' 42''</v>
      </c>
      <c r="D46" s="62" t="str">
        <f>stat_uppg!D46</f>
        <v>14° 19' 43''</v>
      </c>
      <c r="E46" s="70"/>
      <c r="F46" s="70"/>
      <c r="G46" s="70">
        <f>ROUND(stat_uppg!L46-stat_uppg!M46*(stat_uppg!$E$3-2000),1)</f>
        <v>15.1</v>
      </c>
      <c r="H46" s="70"/>
      <c r="I46" s="71">
        <f>stat_uppg!M46</f>
        <v>-0.05</v>
      </c>
    </row>
    <row r="47" spans="1:9" ht="11.45" customHeight="1" x14ac:dyDescent="0.2">
      <c r="A47" s="62" t="str">
        <f>stat_uppg!A47</f>
        <v>2320/33064</v>
      </c>
      <c r="B47" s="62" t="str">
        <f>stat_uppg!B47</f>
        <v>SIMRISHAMN (SMHI)</v>
      </c>
      <c r="C47" s="62" t="str">
        <f>stat_uppg!C47</f>
        <v>55° 33' 27''</v>
      </c>
      <c r="D47" s="62" t="str">
        <f>stat_uppg!D47</f>
        <v>14° 21' 28''</v>
      </c>
      <c r="E47" s="69"/>
      <c r="F47" s="69">
        <f>G47+stat_uppg!I47-stat_uppg!H47</f>
        <v>8.2999999999999545</v>
      </c>
      <c r="G47" s="69">
        <f>ROUND(stat_uppg!L47-stat_uppg!M47*(stat_uppg!$E$3-2000),1)</f>
        <v>16</v>
      </c>
      <c r="H47" s="69">
        <f>G47+stat_uppg!I47-stat_uppg!J47</f>
        <v>15.399999999999977</v>
      </c>
      <c r="I47" s="72">
        <f>stat_uppg!M47</f>
        <v>-0.08</v>
      </c>
    </row>
    <row r="48" spans="1:9" ht="11.45" customHeight="1" x14ac:dyDescent="0.2">
      <c r="A48" s="62" t="str">
        <f>stat_uppg!A48</f>
        <v>2093/33078</v>
      </c>
      <c r="B48" s="62" t="str">
        <f>stat_uppg!B48</f>
        <v>Ystad (SMHI) nedlagd</v>
      </c>
      <c r="C48" s="62" t="str">
        <f>stat_uppg!C48</f>
        <v>55° 25' 00''</v>
      </c>
      <c r="D48" s="62" t="str">
        <f>stat_uppg!D48</f>
        <v>13° 49' 00''</v>
      </c>
      <c r="E48" s="70"/>
      <c r="F48" s="70">
        <f>G48+stat_uppg!I48-stat_uppg!H48</f>
        <v>6.7999999999999545</v>
      </c>
      <c r="G48" s="70">
        <f>ROUND(stat_uppg!L48-stat_uppg!M48*(stat_uppg!$E$3-2000),1)</f>
        <v>15.8</v>
      </c>
      <c r="H48" s="70"/>
      <c r="I48" s="71">
        <f>stat_uppg!M48</f>
        <v>-7.0000000000000007E-2</v>
      </c>
    </row>
    <row r="49" spans="1:9" ht="11.45" customHeight="1" x14ac:dyDescent="0.2">
      <c r="A49" s="62" t="str">
        <f>stat_uppg!A49</f>
        <v>94/35159</v>
      </c>
      <c r="B49" s="62" t="str">
        <f>stat_uppg!B49</f>
        <v>YSTAD2 (SJÖV)</v>
      </c>
      <c r="C49" s="62" t="str">
        <f>stat_uppg!C49</f>
        <v>55° 25' 00''</v>
      </c>
      <c r="D49" s="62" t="str">
        <f>stat_uppg!D49</f>
        <v>13° 49' 00''</v>
      </c>
      <c r="E49" s="70"/>
      <c r="F49" s="70"/>
      <c r="G49" s="70">
        <f>ROUND(stat_uppg!L49-stat_uppg!M49*(stat_uppg!$E$3-2000),1)</f>
        <v>15.8</v>
      </c>
      <c r="H49" s="70"/>
      <c r="I49" s="71">
        <f>stat_uppg!M49</f>
        <v>-7.0000000000000007E-2</v>
      </c>
    </row>
    <row r="50" spans="1:9" ht="11.45" customHeight="1" x14ac:dyDescent="0.2"/>
    <row r="51" spans="1:9" ht="11.45" customHeight="1" x14ac:dyDescent="0.2">
      <c r="B51" s="62" t="s">
        <v>279</v>
      </c>
    </row>
    <row r="52" spans="1:9" ht="11.45" customHeight="1" x14ac:dyDescent="0.2">
      <c r="B52" s="62" t="s">
        <v>116</v>
      </c>
    </row>
    <row r="53" spans="1:9" ht="11.45" customHeight="1" x14ac:dyDescent="0.2"/>
    <row r="54" spans="1:9" ht="11.45" customHeight="1" x14ac:dyDescent="0.2">
      <c r="B54" s="75" t="s">
        <v>265</v>
      </c>
    </row>
    <row r="55" spans="1:9" ht="11.45" customHeight="1" x14ac:dyDescent="0.2">
      <c r="B55" s="77" t="s">
        <v>31</v>
      </c>
    </row>
    <row r="56" spans="1:9" ht="11.45" customHeight="1" x14ac:dyDescent="0.2">
      <c r="B56" s="77" t="s">
        <v>32</v>
      </c>
    </row>
    <row r="57" spans="1:9" ht="11.45" customHeight="1" x14ac:dyDescent="0.2">
      <c r="B57" s="77" t="s">
        <v>33</v>
      </c>
    </row>
    <row r="58" spans="1:9" ht="11.45" customHeight="1" x14ac:dyDescent="0.2">
      <c r="B58" s="77" t="s">
        <v>38</v>
      </c>
    </row>
    <row r="59" spans="1:9" s="64" customFormat="1" ht="57" customHeight="1" thickBot="1" x14ac:dyDescent="0.25">
      <c r="A59" s="66" t="s">
        <v>0</v>
      </c>
      <c r="B59" s="66" t="s">
        <v>1</v>
      </c>
      <c r="C59" s="66" t="s">
        <v>42</v>
      </c>
      <c r="D59" s="66" t="s">
        <v>43</v>
      </c>
      <c r="E59" s="68" t="s">
        <v>7</v>
      </c>
      <c r="F59" s="68" t="s">
        <v>6</v>
      </c>
      <c r="G59" s="68" t="s">
        <v>5</v>
      </c>
      <c r="H59" s="68" t="s">
        <v>88</v>
      </c>
      <c r="I59" s="68" t="s">
        <v>162</v>
      </c>
    </row>
    <row r="60" spans="1:9" ht="11.45" customHeight="1" x14ac:dyDescent="0.2">
      <c r="A60" s="62" t="str">
        <f>stat_uppg!A50</f>
        <v>30488/33065</v>
      </c>
      <c r="B60" s="62" t="str">
        <f>stat_uppg!B50</f>
        <v>SKANÖR (SMHI)</v>
      </c>
      <c r="C60" s="62" t="str">
        <f>stat_uppg!C50</f>
        <v>55° 25' 00''</v>
      </c>
      <c r="D60" s="62" t="str">
        <f>stat_uppg!D50</f>
        <v>12° 49' 47''</v>
      </c>
      <c r="E60" s="69"/>
      <c r="F60" s="69"/>
      <c r="G60" s="69">
        <f>ROUND(stat_uppg!L50-stat_uppg!M50*(stat_uppg!$E$3-2000),1)</f>
        <v>15.9</v>
      </c>
      <c r="H60" s="69">
        <f>G60+stat_uppg!I50-stat_uppg!J50</f>
        <v>15.200000000000273</v>
      </c>
      <c r="I60" s="72">
        <f>stat_uppg!M50</f>
        <v>-0.08</v>
      </c>
    </row>
    <row r="61" spans="1:9" ht="11.45" customHeight="1" x14ac:dyDescent="0.2">
      <c r="A61" s="62" t="str">
        <f>stat_uppg!A51</f>
        <v>2095/33066</v>
      </c>
      <c r="B61" s="62" t="str">
        <f>stat_uppg!B51</f>
        <v>KLAGSHAMN (SMHI)</v>
      </c>
      <c r="C61" s="62" t="str">
        <f>stat_uppg!C51</f>
        <v>55° 31' 20''</v>
      </c>
      <c r="D61" s="62" t="str">
        <f>stat_uppg!D51</f>
        <v>12° 53' 37''</v>
      </c>
      <c r="E61" s="69">
        <f>G61+stat_uppg!I51-stat_uppg!G51</f>
        <v>3</v>
      </c>
      <c r="F61" s="69">
        <f>G61+stat_uppg!I51-stat_uppg!H51</f>
        <v>5.5</v>
      </c>
      <c r="G61" s="69">
        <f>ROUND(stat_uppg!L51-stat_uppg!M51*(stat_uppg!$E$3-2000),1)</f>
        <v>13.1</v>
      </c>
      <c r="H61" s="69">
        <f>G61+stat_uppg!I51-stat_uppg!J51</f>
        <v>12.400000000000091</v>
      </c>
      <c r="I61" s="72">
        <f>stat_uppg!M51</f>
        <v>-0.06</v>
      </c>
    </row>
    <row r="62" spans="1:9" ht="11.45" customHeight="1" x14ac:dyDescent="0.2">
      <c r="A62" s="62" t="str">
        <f>stat_uppg!A52</f>
        <v>91/35136</v>
      </c>
      <c r="B62" s="62" t="str">
        <f>stat_uppg!B52</f>
        <v>FLINTEN 16 (SJÖV)</v>
      </c>
      <c r="C62" s="62" t="str">
        <f>stat_uppg!C52</f>
        <v>55° 33' 40''</v>
      </c>
      <c r="D62" s="62" t="str">
        <f>stat_uppg!D52</f>
        <v>12° 48' 34''</v>
      </c>
      <c r="E62" s="70"/>
      <c r="F62" s="70"/>
      <c r="G62" s="70">
        <f>ROUND(stat_uppg!L52-stat_uppg!M52*(stat_uppg!$E$3-2000),1)</f>
        <v>13</v>
      </c>
      <c r="H62" s="70"/>
      <c r="I62" s="71">
        <f>stat_uppg!M52</f>
        <v>-0.06</v>
      </c>
    </row>
    <row r="63" spans="1:9" ht="11.45" customHeight="1" x14ac:dyDescent="0.2">
      <c r="A63" s="62" t="str">
        <f>stat_uppg!A53</f>
        <v>86/35137</v>
      </c>
      <c r="B63" s="62" t="str">
        <f>stat_uppg!B53</f>
        <v>FLINTEN 7 (SJÖV)</v>
      </c>
      <c r="C63" s="62" t="str">
        <f>stat_uppg!C53</f>
        <v>55° 35' 22''</v>
      </c>
      <c r="D63" s="62" t="str">
        <f>stat_uppg!D53</f>
        <v>12° 50' 40''</v>
      </c>
      <c r="E63" s="70"/>
      <c r="F63" s="70"/>
      <c r="G63" s="70">
        <f>ROUND(stat_uppg!L53-stat_uppg!M53*(stat_uppg!$E$3-2000),1)</f>
        <v>12.9</v>
      </c>
      <c r="H63" s="70"/>
      <c r="I63" s="71">
        <f>stat_uppg!M53</f>
        <v>-0.06</v>
      </c>
    </row>
    <row r="64" spans="1:9" ht="11.45" customHeight="1" x14ac:dyDescent="0.2">
      <c r="A64" s="62" t="str">
        <f>stat_uppg!A54</f>
        <v>68/35152</v>
      </c>
      <c r="B64" s="62" t="str">
        <f>stat_uppg!B54</f>
        <v>MALMÖ HAMN (SJÖV)</v>
      </c>
      <c r="C64" s="62" t="str">
        <f>stat_uppg!C54</f>
        <v>55° 36' 49''</v>
      </c>
      <c r="D64" s="62" t="str">
        <f>stat_uppg!D54</f>
        <v>12° 59' 51''</v>
      </c>
      <c r="E64" s="70"/>
      <c r="F64" s="70"/>
      <c r="G64" s="70">
        <f>ROUND(stat_uppg!L54-stat_uppg!M54*(stat_uppg!$E$3-2000),1)</f>
        <v>12.7</v>
      </c>
      <c r="H64" s="70"/>
      <c r="I64" s="71">
        <f>stat_uppg!M54</f>
        <v>-0.06</v>
      </c>
    </row>
    <row r="65" spans="1:9" ht="11.45" customHeight="1" x14ac:dyDescent="0.2">
      <c r="A65" s="62" t="str">
        <f>stat_uppg!A55</f>
        <v>2098/33077</v>
      </c>
      <c r="B65" s="62" t="str">
        <f>stat_uppg!B55</f>
        <v>Malmö (SMHI) nedlagd</v>
      </c>
      <c r="C65" s="62" t="str">
        <f>stat_uppg!C55</f>
        <v>55° 37' 00''</v>
      </c>
      <c r="D65" s="62" t="str">
        <f>stat_uppg!D55</f>
        <v>13° 00' 00''</v>
      </c>
      <c r="E65" s="70">
        <f>G65+stat_uppg!I55-stat_uppg!G55</f>
        <v>2.7000000000000455</v>
      </c>
      <c r="F65" s="70">
        <f>G65+stat_uppg!I55-stat_uppg!H55</f>
        <v>4.7000000000000455</v>
      </c>
      <c r="G65" s="70">
        <f>ROUND(stat_uppg!L55-stat_uppg!M55*(stat_uppg!$E$3-2000),1)</f>
        <v>12.7</v>
      </c>
      <c r="H65" s="69"/>
      <c r="I65" s="71">
        <f>stat_uppg!M55</f>
        <v>-0.06</v>
      </c>
    </row>
    <row r="66" spans="1:9" ht="11.45" customHeight="1" x14ac:dyDescent="0.2">
      <c r="A66" s="62" t="str">
        <f>stat_uppg!A56</f>
        <v>2099/33067</v>
      </c>
      <c r="B66" s="62" t="str">
        <f>stat_uppg!B56</f>
        <v>BARSEBÄCK (SMHI)</v>
      </c>
      <c r="C66" s="62" t="str">
        <f>stat_uppg!C56</f>
        <v>55° 45' 23''</v>
      </c>
      <c r="D66" s="62" t="str">
        <f>stat_uppg!D56</f>
        <v>12° 54' 12''</v>
      </c>
      <c r="E66" s="69"/>
      <c r="F66" s="69"/>
      <c r="G66" s="69">
        <f>ROUND(stat_uppg!L56-stat_uppg!M56*(stat_uppg!$E$3-2000),1)</f>
        <v>12.3</v>
      </c>
      <c r="H66" s="69">
        <f>G66+stat_uppg!I56-stat_uppg!J56</f>
        <v>12.299999999999955</v>
      </c>
      <c r="I66" s="72">
        <f>stat_uppg!M56</f>
        <v>-0.06</v>
      </c>
    </row>
    <row r="67" spans="1:9" ht="11.45" customHeight="1" x14ac:dyDescent="0.2">
      <c r="A67" s="62" t="str">
        <f>stat_uppg!A57</f>
        <v>45/35110</v>
      </c>
      <c r="B67" s="62" t="str">
        <f>stat_uppg!B57</f>
        <v>HELSINGBORG (SJÖV)</v>
      </c>
      <c r="C67" s="62" t="str">
        <f>stat_uppg!C57</f>
        <v>56° 02' 41''</v>
      </c>
      <c r="D67" s="62" t="str">
        <f>stat_uppg!D57</f>
        <v>12° 41' 14''</v>
      </c>
      <c r="E67" s="70"/>
      <c r="F67" s="70"/>
      <c r="G67" s="70">
        <f>ROUND(stat_uppg!L57-stat_uppg!M57*(stat_uppg!$E$3-2000),1)</f>
        <v>9.1999999999999993</v>
      </c>
      <c r="H67" s="70"/>
      <c r="I67" s="71">
        <f>stat_uppg!M57</f>
        <v>-0.09</v>
      </c>
    </row>
    <row r="68" spans="1:9" ht="11.45" customHeight="1" x14ac:dyDescent="0.2">
      <c r="A68" s="62" t="str">
        <f>stat_uppg!A58</f>
        <v>2228/33068</v>
      </c>
      <c r="B68" s="62" t="str">
        <f>stat_uppg!B58</f>
        <v>VIKEN (SMHI)</v>
      </c>
      <c r="C68" s="62" t="str">
        <f>stat_uppg!C58</f>
        <v>56° 08' 32''</v>
      </c>
      <c r="D68" s="62" t="str">
        <f>stat_uppg!D58</f>
        <v>12° 34' 45''</v>
      </c>
      <c r="E68" s="69">
        <f>G68+stat_uppg!I58-stat_uppg!G58</f>
        <v>-1.6000000000000227</v>
      </c>
      <c r="F68" s="69">
        <f>G68+stat_uppg!I58-stat_uppg!H58</f>
        <v>0.39999999999997726</v>
      </c>
      <c r="G68" s="69">
        <f>ROUND(stat_uppg!L58-stat_uppg!M58*(stat_uppg!$E$3-2000),1)</f>
        <v>8.1999999999999993</v>
      </c>
      <c r="H68" s="69">
        <f>G68+stat_uppg!I58-stat_uppg!J58</f>
        <v>8.2000000000000455</v>
      </c>
      <c r="I68" s="72">
        <f>stat_uppg!M58</f>
        <v>-0.1</v>
      </c>
    </row>
    <row r="69" spans="1:9" ht="11.45" customHeight="1" x14ac:dyDescent="0.2">
      <c r="A69" s="62" t="str">
        <f>stat_uppg!A59</f>
        <v>2542/33082</v>
      </c>
      <c r="B69" s="62" t="str">
        <f>stat_uppg!B59</f>
        <v>Ängelholm (SMHI) nedlagd</v>
      </c>
      <c r="C69" s="62" t="str">
        <f>stat_uppg!C59</f>
        <v>56° 17' 53''</v>
      </c>
      <c r="D69" s="62" t="str">
        <f>stat_uppg!D59</f>
        <v>12° 47' 12''</v>
      </c>
      <c r="E69" s="70"/>
      <c r="F69" s="70"/>
      <c r="G69" s="70">
        <f>ROUND(stat_uppg!L59-stat_uppg!M59*(stat_uppg!$E$3-2000),1)</f>
        <v>7.4</v>
      </c>
      <c r="H69" s="70"/>
      <c r="I69" s="71">
        <f>stat_uppg!M59</f>
        <v>-0.06</v>
      </c>
    </row>
    <row r="70" spans="1:9" ht="11.45" customHeight="1" x14ac:dyDescent="0.2">
      <c r="A70" s="62" t="str">
        <f>stat_uppg!A60</f>
        <v>43/35115</v>
      </c>
      <c r="B70" s="62" t="str">
        <f>stat_uppg!B60</f>
        <v>HALMSTAD (SJÖV)</v>
      </c>
      <c r="C70" s="62" t="str">
        <f>stat_uppg!C60</f>
        <v>56° 38' 56''</v>
      </c>
      <c r="D70" s="62" t="str">
        <f>stat_uppg!D60</f>
        <v>12° 50' 09''</v>
      </c>
      <c r="E70" s="70"/>
      <c r="F70" s="70"/>
      <c r="G70" s="70">
        <f>ROUND(stat_uppg!L60-stat_uppg!M60*(stat_uppg!$E$3-2000),1)</f>
        <v>5.8</v>
      </c>
      <c r="H70" s="70"/>
      <c r="I70" s="71">
        <f>stat_uppg!M60</f>
        <v>0.01</v>
      </c>
    </row>
    <row r="71" spans="1:9" ht="11.45" customHeight="1" x14ac:dyDescent="0.2">
      <c r="A71" s="62" t="str">
        <f>stat_uppg!A61</f>
        <v>36/35213</v>
      </c>
      <c r="B71" s="62" t="str">
        <f>stat_uppg!B61</f>
        <v>FALKENBERG (SJÖV)</v>
      </c>
      <c r="C71" s="62" t="str">
        <f>stat_uppg!C61</f>
        <v>56° 53' 31''</v>
      </c>
      <c r="D71" s="62" t="str">
        <f>stat_uppg!D61</f>
        <v>12° 29' 22''</v>
      </c>
      <c r="E71" s="70"/>
      <c r="F71" s="70"/>
      <c r="G71" s="70">
        <f>ROUND(stat_uppg!L61-stat_uppg!M61*(stat_uppg!$E$3-2000),1)</f>
        <v>5</v>
      </c>
      <c r="H71" s="70"/>
      <c r="I71" s="71">
        <f>stat_uppg!M61</f>
        <v>0.05</v>
      </c>
    </row>
    <row r="72" spans="1:9" ht="11.45" customHeight="1" x14ac:dyDescent="0.2">
      <c r="A72" s="62" t="str">
        <f>stat_uppg!A62</f>
        <v>2104/33079</v>
      </c>
      <c r="B72" s="62" t="str">
        <f>stat_uppg!B62</f>
        <v>Varberg (SMHI) nedlagd</v>
      </c>
      <c r="C72" s="62" t="str">
        <f>stat_uppg!C62</f>
        <v>57° 06' 00''</v>
      </c>
      <c r="D72" s="62" t="str">
        <f>stat_uppg!D62</f>
        <v>12° 13' 00''</v>
      </c>
      <c r="E72" s="70">
        <f>G72+stat_uppg!I62-stat_uppg!G62</f>
        <v>-10.5</v>
      </c>
      <c r="F72" s="70">
        <f>G72+stat_uppg!I62-stat_uppg!H62</f>
        <v>-8.7000000000000455</v>
      </c>
      <c r="G72" s="70">
        <f>ROUND(stat_uppg!L62-stat_uppg!M62*(stat_uppg!$E$3-2000),1)</f>
        <v>4.4000000000000004</v>
      </c>
      <c r="H72" s="70"/>
      <c r="I72" s="71">
        <f>stat_uppg!M62</f>
        <v>7.0000000000000007E-2</v>
      </c>
    </row>
    <row r="73" spans="1:9" ht="11.45" customHeight="1" x14ac:dyDescent="0.2">
      <c r="A73" s="62" t="str">
        <f>stat_uppg!A63</f>
        <v>81/35133</v>
      </c>
      <c r="B73" s="62" t="str">
        <f>stat_uppg!B63</f>
        <v>VARBERG2 (SJÖV)</v>
      </c>
      <c r="C73" s="62" t="str">
        <f>stat_uppg!C63</f>
        <v>57° 06' 40''</v>
      </c>
      <c r="D73" s="62" t="str">
        <f>stat_uppg!D63</f>
        <v>12° 14' 19''</v>
      </c>
      <c r="E73" s="70"/>
      <c r="F73" s="70"/>
      <c r="G73" s="70">
        <f>ROUND(stat_uppg!L63-stat_uppg!M63*(stat_uppg!$E$3-2000),1)</f>
        <v>4.4000000000000004</v>
      </c>
      <c r="H73" s="70"/>
      <c r="I73" s="71">
        <f>stat_uppg!M63</f>
        <v>7.0000000000000007E-2</v>
      </c>
    </row>
    <row r="74" spans="1:9" ht="11.45" customHeight="1" x14ac:dyDescent="0.2">
      <c r="A74" s="62" t="str">
        <f>stat_uppg!A64</f>
        <v>2105/33069</v>
      </c>
      <c r="B74" s="62" t="str">
        <f>stat_uppg!B64</f>
        <v>RINGHALS (SMHI)</v>
      </c>
      <c r="C74" s="62" t="str">
        <f>stat_uppg!C64</f>
        <v>57° 14' 59''</v>
      </c>
      <c r="D74" s="62" t="str">
        <f>stat_uppg!D64</f>
        <v>12° 06' 45''</v>
      </c>
      <c r="E74" s="69">
        <f>G74+stat_uppg!I64-stat_uppg!G64</f>
        <v>-10.700000000000045</v>
      </c>
      <c r="F74" s="69">
        <f>G74+stat_uppg!I64-stat_uppg!H64</f>
        <v>-7.7000000000000455</v>
      </c>
      <c r="G74" s="69">
        <f>ROUND(stat_uppg!L64-stat_uppg!M64*(stat_uppg!$E$3-2000),1)</f>
        <v>3.8</v>
      </c>
      <c r="H74" s="69">
        <f>G74+stat_uppg!I64-stat_uppg!J64</f>
        <v>3.2000000000000455</v>
      </c>
      <c r="I74" s="72">
        <f>stat_uppg!M64</f>
        <v>0.1</v>
      </c>
    </row>
    <row r="75" spans="1:9" ht="11.45" customHeight="1" x14ac:dyDescent="0.2">
      <c r="A75" s="62" t="str">
        <f>stat_uppg!A65</f>
        <v>2544/33084</v>
      </c>
      <c r="B75" s="62" t="str">
        <f>stat_uppg!B65</f>
        <v>ONSALA (CTH)</v>
      </c>
      <c r="C75" s="62" t="str">
        <f>stat_uppg!C65</f>
        <v>57° 23' 31''</v>
      </c>
      <c r="D75" s="62" t="str">
        <f>stat_uppg!D65</f>
        <v>11° 55' 09''</v>
      </c>
      <c r="E75" s="70"/>
      <c r="F75" s="70"/>
      <c r="G75" s="70">
        <f>ROUND(stat_uppg!L65-stat_uppg!M65*(stat_uppg!$E$3-2000),1)</f>
        <v>3.4</v>
      </c>
      <c r="H75" s="70">
        <f>G75+stat_uppg!I65-stat_uppg!J65</f>
        <v>2.8170000000000073</v>
      </c>
      <c r="I75" s="71">
        <f>stat_uppg!M65</f>
        <v>0.12</v>
      </c>
    </row>
    <row r="76" spans="1:9" ht="11.45" customHeight="1" x14ac:dyDescent="0.2">
      <c r="A76" s="62" t="str">
        <f>stat_uppg!A66</f>
        <v>114/35144</v>
      </c>
      <c r="B76" s="62" t="str">
        <f>stat_uppg!B66</f>
        <v>VINGA2 (SJÖV)</v>
      </c>
      <c r="C76" s="62" t="str">
        <f>stat_uppg!C66</f>
        <v>57° 37' 54''</v>
      </c>
      <c r="D76" s="62" t="str">
        <f>stat_uppg!D66</f>
        <v>11° 36' 32''</v>
      </c>
      <c r="E76" s="70"/>
      <c r="F76" s="70"/>
      <c r="G76" s="70">
        <f>ROUND(stat_uppg!L66-stat_uppg!M66*(stat_uppg!$E$3-2000),1)</f>
        <v>1.7</v>
      </c>
      <c r="H76" s="70"/>
      <c r="I76" s="71">
        <f>stat_uppg!M66</f>
        <v>0.15</v>
      </c>
    </row>
    <row r="77" spans="1:9" ht="11.45" customHeight="1" x14ac:dyDescent="0.2">
      <c r="A77" s="62" t="str">
        <f>stat_uppg!A67</f>
        <v>100/35171</v>
      </c>
      <c r="B77" s="62" t="str">
        <f>stat_uppg!B67</f>
        <v>MÅVHOLMSBÅDAN (SJÖV)</v>
      </c>
      <c r="C77" s="62" t="str">
        <f>stat_uppg!C67</f>
        <v>57° 40' 20''</v>
      </c>
      <c r="D77" s="62" t="str">
        <f>stat_uppg!D67</f>
        <v>11° 42' 27''</v>
      </c>
      <c r="E77" s="70"/>
      <c r="F77" s="70"/>
      <c r="G77" s="70">
        <f>ROUND(stat_uppg!L67-stat_uppg!M67*(stat_uppg!$E$3-2000),1)</f>
        <v>2</v>
      </c>
      <c r="H77" s="70"/>
      <c r="I77" s="71">
        <f>stat_uppg!M67</f>
        <v>0.15</v>
      </c>
    </row>
    <row r="78" spans="1:9" ht="11.45" customHeight="1" x14ac:dyDescent="0.2">
      <c r="A78" s="62" t="str">
        <f>stat_uppg!A68</f>
        <v>2109/33070</v>
      </c>
      <c r="B78" s="62" t="str">
        <f>stat_uppg!B68</f>
        <v>GÖTEBORG-TORSHAMNEN (SMHI)</v>
      </c>
      <c r="C78" s="62" t="str">
        <f>stat_uppg!C68</f>
        <v>57° 41' 05''</v>
      </c>
      <c r="D78" s="62" t="str">
        <f>stat_uppg!D68</f>
        <v>11° 47' 26''</v>
      </c>
      <c r="E78" s="69">
        <f>G78+stat_uppg!I68-stat_uppg!G68</f>
        <v>-19.700000000000045</v>
      </c>
      <c r="F78" s="69">
        <f>G78+stat_uppg!I68-stat_uppg!H68</f>
        <v>-9.5</v>
      </c>
      <c r="G78" s="69">
        <f>ROUND(stat_uppg!L68-stat_uppg!M68*(stat_uppg!$E$3-2000),1)</f>
        <v>2.4</v>
      </c>
      <c r="H78" s="69">
        <f>G78+stat_uppg!I68-stat_uppg!J68</f>
        <v>1.7999999999999545</v>
      </c>
      <c r="I78" s="72">
        <f>stat_uppg!M68</f>
        <v>0.16</v>
      </c>
    </row>
    <row r="79" spans="1:9" ht="11.45" customHeight="1" x14ac:dyDescent="0.2">
      <c r="A79" s="62">
        <f>stat_uppg!A69</f>
        <v>35120</v>
      </c>
      <c r="B79" s="62" t="str">
        <f>stat_uppg!B69</f>
        <v>TÅNGUDDEN GBG HAMN (SJÖV)</v>
      </c>
      <c r="C79" s="62" t="str">
        <f>stat_uppg!C69</f>
        <v>57° 40' 55''</v>
      </c>
      <c r="D79" s="62" t="str">
        <f>stat_uppg!D69</f>
        <v>11° 52' 20''</v>
      </c>
      <c r="E79" s="70"/>
      <c r="F79" s="70"/>
      <c r="G79" s="70">
        <f>ROUND(stat_uppg!L69-stat_uppg!M69*(stat_uppg!$E$3-2000),1)</f>
        <v>3.9</v>
      </c>
      <c r="H79" s="70"/>
      <c r="I79" s="71">
        <f>stat_uppg!M69</f>
        <v>0.16</v>
      </c>
    </row>
    <row r="80" spans="1:9" ht="11.45" customHeight="1" x14ac:dyDescent="0.2">
      <c r="A80" s="62">
        <f>stat_uppg!A70</f>
        <v>33091</v>
      </c>
      <c r="B80" s="62" t="str">
        <f>stat_uppg!B70</f>
        <v>Göteborg-Älvsborgsbron (GBG)</v>
      </c>
      <c r="C80" s="62" t="str">
        <f>stat_uppg!C70</f>
        <v>57° 41' 29''</v>
      </c>
      <c r="D80" s="62" t="str">
        <f>stat_uppg!D70</f>
        <v>11° 54' 04''</v>
      </c>
      <c r="E80" s="70"/>
      <c r="F80" s="70"/>
      <c r="G80" s="70">
        <f>ROUND(stat_uppg!L70-stat_uppg!M70*(stat_uppg!$E$3-2000),1)</f>
        <v>4.5999999999999996</v>
      </c>
      <c r="H80" s="70"/>
      <c r="I80" s="71">
        <f>stat_uppg!M70</f>
        <v>0.16</v>
      </c>
    </row>
    <row r="81" spans="1:9" ht="11.45" customHeight="1" x14ac:dyDescent="0.2">
      <c r="A81" s="62" t="str">
        <f>stat_uppg!A71</f>
        <v>2108/33080</v>
      </c>
      <c r="B81" s="62" t="str">
        <f>stat_uppg!B71</f>
        <v>Göteborg-Klippan (SMHI) nedlagd</v>
      </c>
      <c r="C81" s="62" t="str">
        <f>stat_uppg!C71</f>
        <v>57° 41' 30''</v>
      </c>
      <c r="D81" s="62" t="str">
        <f>stat_uppg!D71</f>
        <v>11° 54' 30''</v>
      </c>
      <c r="E81" s="70">
        <f>G81+stat_uppg!I71-stat_uppg!G71</f>
        <v>-17.299999999999955</v>
      </c>
      <c r="F81" s="70">
        <f>G81+stat_uppg!I71-stat_uppg!H71</f>
        <v>-7.2999999999999545</v>
      </c>
      <c r="G81" s="70">
        <f>ROUND(stat_uppg!L71-stat_uppg!M71*(stat_uppg!$E$3-2000),1)</f>
        <v>4.7</v>
      </c>
      <c r="H81" s="70"/>
      <c r="I81" s="71">
        <f>stat_uppg!M71</f>
        <v>0.16</v>
      </c>
    </row>
    <row r="82" spans="1:9" ht="11.45" customHeight="1" x14ac:dyDescent="0.2">
      <c r="A82" s="62">
        <f>stat_uppg!A72</f>
        <v>33096</v>
      </c>
      <c r="B82" s="62" t="str">
        <f>stat_uppg!B72</f>
        <v>GÖTEBORG-ERIKSBERG (GBG)</v>
      </c>
      <c r="C82" s="62" t="str">
        <f>stat_uppg!C72</f>
        <v>57° 41' 48''</v>
      </c>
      <c r="D82" s="62" t="str">
        <f>stat_uppg!D72</f>
        <v>11° 54' 32''</v>
      </c>
      <c r="E82" s="70"/>
      <c r="F82" s="70"/>
      <c r="G82" s="70">
        <f>ROUND(stat_uppg!L72-stat_uppg!M72*(stat_uppg!$E$3-2000),1)</f>
        <v>4.9000000000000004</v>
      </c>
      <c r="H82" s="70"/>
      <c r="I82" s="71">
        <f>stat_uppg!M72</f>
        <v>0.16</v>
      </c>
    </row>
    <row r="83" spans="1:9" ht="11.45" customHeight="1" x14ac:dyDescent="0.2">
      <c r="A83" s="62">
        <f>stat_uppg!A73</f>
        <v>33092</v>
      </c>
      <c r="B83" s="62" t="str">
        <f>stat_uppg!B73</f>
        <v>GÖTEBORG-GÖTAÄLVBRON (GBG)</v>
      </c>
      <c r="C83" s="62" t="str">
        <f>stat_uppg!C73</f>
        <v>57° 42' 53''</v>
      </c>
      <c r="D83" s="62" t="str">
        <f>stat_uppg!D73</f>
        <v>11° 58' 01''</v>
      </c>
      <c r="E83" s="70"/>
      <c r="F83" s="70"/>
      <c r="G83" s="70">
        <f>ROUND(stat_uppg!L73-stat_uppg!M73*(stat_uppg!$E$3-2000),1)</f>
        <v>7.2</v>
      </c>
      <c r="H83" s="70"/>
      <c r="I83" s="71">
        <f>stat_uppg!M73</f>
        <v>0.17</v>
      </c>
    </row>
    <row r="84" spans="1:9" ht="11.45" customHeight="1" x14ac:dyDescent="0.2">
      <c r="A84" s="62" t="str">
        <f>stat_uppg!A74</f>
        <v>2508/33089</v>
      </c>
      <c r="B84" s="62" t="str">
        <f>stat_uppg!B74</f>
        <v>Göteborg-Ringön (SMHI) nedlagd</v>
      </c>
      <c r="C84" s="62" t="str">
        <f>stat_uppg!C74</f>
        <v>57° 43' 05''</v>
      </c>
      <c r="D84" s="62" t="str">
        <f>stat_uppg!D74</f>
        <v>11° 58' 06''</v>
      </c>
      <c r="E84" s="70">
        <f>G84+stat_uppg!I74-stat_uppg!G74</f>
        <v>-14.799999999999955</v>
      </c>
      <c r="F84" s="70">
        <f>G84+stat_uppg!I74-stat_uppg!H74</f>
        <v>-4.7999999999999545</v>
      </c>
      <c r="G84" s="70">
        <f>ROUND(stat_uppg!L74-stat_uppg!M74*(stat_uppg!$E$3-2000),1)</f>
        <v>7.2</v>
      </c>
      <c r="H84" s="70"/>
      <c r="I84" s="71">
        <f>stat_uppg!M74</f>
        <v>0.17</v>
      </c>
    </row>
    <row r="85" spans="1:9" ht="11.45" customHeight="1" x14ac:dyDescent="0.2">
      <c r="A85" s="62">
        <f>stat_uppg!A75</f>
        <v>33093</v>
      </c>
      <c r="B85" s="62" t="str">
        <f>stat_uppg!B75</f>
        <v>GÖTEBORG-TINGSTADSTUNNELN (GBG)</v>
      </c>
      <c r="C85" s="62" t="str">
        <f>stat_uppg!C75</f>
        <v>57° 43' 23''</v>
      </c>
      <c r="D85" s="62" t="str">
        <f>stat_uppg!D75</f>
        <v>11° 59' 13''</v>
      </c>
      <c r="E85" s="70"/>
      <c r="F85" s="70"/>
      <c r="G85" s="70">
        <f>ROUND(stat_uppg!L75-stat_uppg!M75*(stat_uppg!$E$3-2000),1)</f>
        <v>7.5</v>
      </c>
      <c r="H85" s="70"/>
      <c r="I85" s="71">
        <f>stat_uppg!M75</f>
        <v>0.17</v>
      </c>
    </row>
    <row r="86" spans="1:9" ht="11.45" customHeight="1" x14ac:dyDescent="0.2">
      <c r="A86" s="62">
        <f>stat_uppg!A76</f>
        <v>33094</v>
      </c>
      <c r="B86" s="62" t="str">
        <f>stat_uppg!B76</f>
        <v>GÖTEBORG-LÄRJEHOLM (GBG)</v>
      </c>
      <c r="C86" s="62" t="str">
        <f>stat_uppg!C76</f>
        <v>57° 45' 57''</v>
      </c>
      <c r="D86" s="62" t="str">
        <f>stat_uppg!D76</f>
        <v>12° 00' 20''</v>
      </c>
      <c r="E86" s="70"/>
      <c r="F86" s="70"/>
      <c r="G86" s="70">
        <f>ROUND(stat_uppg!L76-stat_uppg!M76*(stat_uppg!$E$3-2000),1)</f>
        <v>13.3</v>
      </c>
      <c r="H86" s="70"/>
      <c r="I86" s="71">
        <f>stat_uppg!M76</f>
        <v>0.17</v>
      </c>
    </row>
    <row r="87" spans="1:9" ht="11.45" customHeight="1" x14ac:dyDescent="0.2">
      <c r="A87" s="62">
        <f>stat_uppg!A77</f>
        <v>33095</v>
      </c>
      <c r="B87" s="62" t="str">
        <f>stat_uppg!B77</f>
        <v>GÖTEBORG-AGNESBERG (GBG)</v>
      </c>
      <c r="C87" s="62" t="str">
        <f>stat_uppg!C77</f>
        <v>57° 47' 23''</v>
      </c>
      <c r="D87" s="62" t="str">
        <f>stat_uppg!D77</f>
        <v>12° 00' 36''</v>
      </c>
      <c r="E87" s="70"/>
      <c r="F87" s="70"/>
      <c r="G87" s="70">
        <f>ROUND(stat_uppg!L77-stat_uppg!M77*(stat_uppg!$E$3-2000),1)</f>
        <v>14.7</v>
      </c>
      <c r="H87" s="70"/>
      <c r="I87" s="71">
        <f>stat_uppg!M77</f>
        <v>0.17</v>
      </c>
    </row>
    <row r="88" spans="1:9" ht="11.45" customHeight="1" x14ac:dyDescent="0.2">
      <c r="A88" s="62" t="str">
        <f>stat_uppg!A78</f>
        <v>69/35104</v>
      </c>
      <c r="B88" s="62" t="str">
        <f>stat_uppg!B78</f>
        <v>MARSTRAND (SJÖV)</v>
      </c>
      <c r="C88" s="62" t="str">
        <f>stat_uppg!C78</f>
        <v>57° 53' 13''</v>
      </c>
      <c r="D88" s="62" t="str">
        <f>stat_uppg!D78</f>
        <v>11° 35' 37''</v>
      </c>
      <c r="E88" s="70"/>
      <c r="F88" s="70"/>
      <c r="G88" s="70">
        <f>ROUND(stat_uppg!L78-stat_uppg!M78*(stat_uppg!$E$3-2000),1)</f>
        <v>0.8</v>
      </c>
      <c r="H88" s="70"/>
      <c r="I88" s="71">
        <f>stat_uppg!M78</f>
        <v>0.16</v>
      </c>
    </row>
    <row r="89" spans="1:9" ht="11.45" customHeight="1" x14ac:dyDescent="0.2">
      <c r="A89" s="62" t="str">
        <f>stat_uppg!A79</f>
        <v>2110/33071</v>
      </c>
      <c r="B89" s="62" t="str">
        <f>stat_uppg!B79</f>
        <v>STENUNGSUND (SMHI)</v>
      </c>
      <c r="C89" s="62" t="str">
        <f>stat_uppg!C79</f>
        <v>58° 05' 36''</v>
      </c>
      <c r="D89" s="62" t="str">
        <f>stat_uppg!D79</f>
        <v>11° 49' 57''</v>
      </c>
      <c r="E89" s="69">
        <f>G89+stat_uppg!I79-stat_uppg!G79</f>
        <v>-25</v>
      </c>
      <c r="F89" s="69">
        <f>G89+stat_uppg!I79-stat_uppg!H79</f>
        <v>-13</v>
      </c>
      <c r="G89" s="69">
        <f>ROUND(stat_uppg!L79-stat_uppg!M79*(stat_uppg!$E$3-2000),1)</f>
        <v>-1.9</v>
      </c>
      <c r="H89" s="69">
        <f>G89+stat_uppg!I79-stat_uppg!J79</f>
        <v>-2.5</v>
      </c>
      <c r="I89" s="72">
        <f>stat_uppg!M79</f>
        <v>0.17</v>
      </c>
    </row>
    <row r="90" spans="1:9" ht="11.45" customHeight="1" x14ac:dyDescent="0.2">
      <c r="A90" s="62" t="str">
        <f>stat_uppg!A80</f>
        <v>2541/33081</v>
      </c>
      <c r="B90" s="62" t="str">
        <f>stat_uppg!B80</f>
        <v>UDDEVALLA (SMHI)</v>
      </c>
      <c r="C90" s="62" t="str">
        <f>stat_uppg!C80</f>
        <v>58° 20' 51''</v>
      </c>
      <c r="D90" s="62" t="str">
        <f>stat_uppg!D80</f>
        <v>11° 53' 41''</v>
      </c>
      <c r="E90" s="139"/>
      <c r="F90" s="139"/>
      <c r="G90" s="69">
        <f>ROUND(stat_uppg!L80-stat_uppg!M80*(stat_uppg!$E$3-2000),1)</f>
        <v>-3.3</v>
      </c>
      <c r="H90" s="139"/>
      <c r="I90" s="72">
        <f>stat_uppg!M80</f>
        <v>0.19</v>
      </c>
    </row>
    <row r="91" spans="1:9" ht="11.45" customHeight="1" x14ac:dyDescent="0.2">
      <c r="A91" s="62">
        <f>stat_uppg!A81</f>
        <v>33099</v>
      </c>
      <c r="B91" s="62" t="str">
        <f>stat_uppg!B81</f>
        <v>KRISTINEBERG (GU)</v>
      </c>
      <c r="C91" s="62" t="str">
        <f>stat_uppg!C81</f>
        <v>58° 15' 00''</v>
      </c>
      <c r="D91" s="62" t="str">
        <f>stat_uppg!D81</f>
        <v>11° 27' 00''</v>
      </c>
      <c r="E91" s="139"/>
      <c r="F91" s="139"/>
      <c r="G91" s="177">
        <f>ROUND(stat_uppg!L81-stat_uppg!M81*(stat_uppg!$E$3-2000),1)</f>
        <v>-4.4000000000000004</v>
      </c>
      <c r="H91" s="139"/>
      <c r="I91" s="71">
        <f>stat_uppg!M81</f>
        <v>0.19</v>
      </c>
    </row>
    <row r="92" spans="1:9" ht="11.45" customHeight="1" x14ac:dyDescent="0.2">
      <c r="A92" s="62" t="str">
        <f>stat_uppg!A82</f>
        <v>32/35109</v>
      </c>
      <c r="B92" s="62" t="str">
        <f>stat_uppg!B82</f>
        <v>BROFJORDEN (SJÖV)</v>
      </c>
      <c r="C92" s="62" t="str">
        <f>stat_uppg!C82</f>
        <v>58° 20' 10''</v>
      </c>
      <c r="D92" s="62" t="str">
        <f>stat_uppg!D82</f>
        <v>11° 24' 17''</v>
      </c>
      <c r="E92" s="70"/>
      <c r="F92" s="70"/>
      <c r="G92" s="70">
        <f>ROUND(stat_uppg!L82-stat_uppg!M82*(stat_uppg!$E$3-2000),1)</f>
        <v>-4.5999999999999996</v>
      </c>
      <c r="H92" s="70"/>
      <c r="I92" s="71">
        <f>stat_uppg!M82</f>
        <v>0.18</v>
      </c>
    </row>
    <row r="93" spans="1:9" ht="11.45" customHeight="1" x14ac:dyDescent="0.2">
      <c r="A93" s="62" t="str">
        <f>stat_uppg!A83</f>
        <v>2111/33072</v>
      </c>
      <c r="B93" s="62" t="str">
        <f>stat_uppg!B83</f>
        <v>SMÖGEN (SMHI)</v>
      </c>
      <c r="C93" s="62" t="str">
        <f>stat_uppg!C83</f>
        <v>58° 21' 13''</v>
      </c>
      <c r="D93" s="62" t="str">
        <f>stat_uppg!D83</f>
        <v>11° 13' 04''</v>
      </c>
      <c r="E93" s="69">
        <f>G93+stat_uppg!I83-stat_uppg!G83</f>
        <v>-29.800000000000068</v>
      </c>
      <c r="F93" s="69">
        <f>G93+stat_uppg!I83-stat_uppg!H83</f>
        <v>-15.700000000000045</v>
      </c>
      <c r="G93" s="69">
        <f>ROUND(stat_uppg!L83-stat_uppg!M83*(stat_uppg!$E$3-2000),1)</f>
        <v>-4.5999999999999996</v>
      </c>
      <c r="H93" s="69">
        <f>G93+stat_uppg!I83-stat_uppg!J83</f>
        <v>-5.2000000000000455</v>
      </c>
      <c r="I93" s="72">
        <f>stat_uppg!M83</f>
        <v>0.18</v>
      </c>
    </row>
    <row r="94" spans="1:9" ht="11.45" customHeight="1" x14ac:dyDescent="0.2">
      <c r="A94" s="62" t="str">
        <f>stat_uppg!A84</f>
        <v>2130/33073</v>
      </c>
      <c r="B94" s="62" t="str">
        <f>stat_uppg!B84</f>
        <v>KUNGSVIK (SMHI)</v>
      </c>
      <c r="C94" s="62" t="str">
        <f>stat_uppg!C84</f>
        <v>58° 59' 48''</v>
      </c>
      <c r="D94" s="62" t="str">
        <f>stat_uppg!D84</f>
        <v>11° 07' 38''</v>
      </c>
      <c r="E94" s="69">
        <f>G94+stat_uppg!I84-stat_uppg!G84</f>
        <v>-35</v>
      </c>
      <c r="F94" s="69">
        <f>G94+stat_uppg!I84-stat_uppg!H84</f>
        <v>-17.899999999999977</v>
      </c>
      <c r="G94" s="69">
        <f>ROUND(stat_uppg!L84-stat_uppg!M84*(stat_uppg!$E$3-2000),1)</f>
        <v>-5.2</v>
      </c>
      <c r="H94" s="69">
        <f>G94+stat_uppg!I84-stat_uppg!J84</f>
        <v>-5.7999999999999545</v>
      </c>
      <c r="I94" s="72">
        <f>stat_uppg!M84</f>
        <v>0.2</v>
      </c>
    </row>
    <row r="95" spans="1:9" ht="11.45" customHeight="1" x14ac:dyDescent="0.2">
      <c r="E95" s="69"/>
      <c r="F95" s="69"/>
      <c r="G95" s="69"/>
      <c r="H95" s="69"/>
      <c r="I95" s="69"/>
    </row>
    <row r="96" spans="1:9" ht="11.45" customHeight="1" x14ac:dyDescent="0.2">
      <c r="E96" s="73"/>
    </row>
    <row r="97" spans="2:5" ht="11.45" customHeight="1" x14ac:dyDescent="0.2">
      <c r="B97" s="62" t="s">
        <v>279</v>
      </c>
      <c r="E97" s="73"/>
    </row>
    <row r="98" spans="2:5" ht="11.45" customHeight="1" x14ac:dyDescent="0.2">
      <c r="B98" s="62" t="s">
        <v>116</v>
      </c>
      <c r="E98" s="73"/>
    </row>
    <row r="99" spans="2:5" ht="11.45" customHeight="1" x14ac:dyDescent="0.2">
      <c r="E99" s="73"/>
    </row>
    <row r="100" spans="2:5" ht="11.45" customHeight="1" x14ac:dyDescent="0.2">
      <c r="B100" s="75" t="s">
        <v>265</v>
      </c>
    </row>
    <row r="101" spans="2:5" ht="11.45" customHeight="1" x14ac:dyDescent="0.2">
      <c r="B101" s="77" t="s">
        <v>31</v>
      </c>
      <c r="D101" s="77"/>
    </row>
    <row r="102" spans="2:5" ht="11.45" customHeight="1" x14ac:dyDescent="0.2">
      <c r="B102" s="77" t="s">
        <v>32</v>
      </c>
      <c r="D102" s="77"/>
    </row>
    <row r="103" spans="2:5" ht="11.45" customHeight="1" x14ac:dyDescent="0.2">
      <c r="B103" s="77" t="s">
        <v>33</v>
      </c>
      <c r="D103" s="77"/>
    </row>
    <row r="104" spans="2:5" ht="11.45" customHeight="1" x14ac:dyDescent="0.2">
      <c r="B104" s="77" t="s">
        <v>38</v>
      </c>
      <c r="D104" s="77"/>
    </row>
  </sheetData>
  <phoneticPr fontId="5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2"/>
  <dimension ref="A1:I103"/>
  <sheetViews>
    <sheetView zoomScaleNormal="100" workbookViewId="0">
      <pane xSplit="2" ySplit="8" topLeftCell="C9" activePane="bottomRight" state="frozen"/>
      <selection pane="topRight" activeCell="C1" sqref="C1"/>
      <selection pane="bottomLeft" activeCell="A7" sqref="A7"/>
      <selection pane="bottomRight" activeCell="L8" sqref="L8"/>
    </sheetView>
  </sheetViews>
  <sheetFormatPr defaultColWidth="9.140625" defaultRowHeight="11.25" x14ac:dyDescent="0.2"/>
  <cols>
    <col min="1" max="1" width="9.140625" style="62" bestFit="1" customWidth="1"/>
    <col min="2" max="2" width="29.28515625" style="62" customWidth="1"/>
    <col min="3" max="4" width="7.85546875" style="73" customWidth="1"/>
    <col min="5" max="5" width="6.28515625" style="76" customWidth="1"/>
    <col min="6" max="6" width="5.5703125" style="73" bestFit="1" customWidth="1"/>
    <col min="7" max="7" width="6.28515625" style="73" customWidth="1"/>
    <col min="8" max="8" width="7.85546875" style="73" customWidth="1"/>
    <col min="9" max="9" width="7.5703125" style="73" customWidth="1"/>
    <col min="10" max="16384" width="9.140625" style="73"/>
  </cols>
  <sheetData>
    <row r="1" spans="1:9" s="61" customFormat="1" ht="11.25" customHeight="1" x14ac:dyDescent="0.2">
      <c r="A1" s="2"/>
      <c r="B1" s="2"/>
      <c r="C1" s="1"/>
      <c r="D1" s="1"/>
      <c r="E1" s="1"/>
      <c r="F1" s="1"/>
      <c r="G1" s="1"/>
      <c r="H1" s="1"/>
      <c r="I1" s="1"/>
    </row>
    <row r="2" spans="1:9" s="61" customFormat="1" ht="11.25" customHeight="1" x14ac:dyDescent="0.2">
      <c r="A2" s="2"/>
      <c r="B2" s="2"/>
      <c r="C2" s="1"/>
      <c r="D2" s="1"/>
      <c r="E2" s="1"/>
      <c r="F2" s="1"/>
      <c r="G2" s="1"/>
      <c r="H2" s="1"/>
      <c r="I2" s="1"/>
    </row>
    <row r="3" spans="1:9" s="61" customFormat="1" ht="11.25" customHeight="1" x14ac:dyDescent="0.2">
      <c r="A3" s="2"/>
      <c r="B3" s="3"/>
      <c r="C3" s="4" t="s">
        <v>106</v>
      </c>
      <c r="D3" s="5"/>
      <c r="E3" s="31">
        <f>stat_uppg!E3</f>
        <v>2021</v>
      </c>
      <c r="F3" s="1"/>
      <c r="G3" s="39"/>
      <c r="H3" s="6"/>
      <c r="I3" s="6"/>
    </row>
    <row r="4" spans="1:9" s="61" customFormat="1" ht="11.25" customHeight="1" x14ac:dyDescent="0.2">
      <c r="A4" s="7"/>
      <c r="B4" s="3"/>
      <c r="C4" s="2" t="str">
        <f>"Calculated mean sealevel "&amp;TEXT(E3,"0000")&amp;" in different height systems"</f>
        <v>Calculated mean sealevel 2021 in different height systems</v>
      </c>
      <c r="D4" s="5"/>
      <c r="E4" s="1"/>
      <c r="F4" s="1"/>
      <c r="G4" s="1"/>
      <c r="H4" s="1"/>
      <c r="I4" s="1"/>
    </row>
    <row r="5" spans="1:9" s="61" customFormat="1" ht="11.25" customHeight="1" x14ac:dyDescent="0.2">
      <c r="A5" s="7"/>
      <c r="B5" s="3"/>
      <c r="C5" s="2"/>
      <c r="D5" s="5"/>
      <c r="E5" s="1"/>
      <c r="F5" s="1"/>
      <c r="G5" s="1"/>
      <c r="H5" s="1"/>
      <c r="I5" s="1"/>
    </row>
    <row r="6" spans="1:9" s="61" customFormat="1" ht="11.25" customHeight="1" x14ac:dyDescent="0.2">
      <c r="A6" s="7"/>
      <c r="B6" s="3"/>
      <c r="C6" s="2"/>
      <c r="D6" s="5"/>
      <c r="E6" s="1"/>
      <c r="F6" s="1"/>
      <c r="G6" s="1"/>
      <c r="H6" s="1"/>
      <c r="I6" s="1"/>
    </row>
    <row r="7" spans="1:9" s="61" customFormat="1" ht="11.25" customHeight="1" x14ac:dyDescent="0.2">
      <c r="A7" s="2"/>
      <c r="B7" s="7">
        <f ca="1">NOW()</f>
        <v>44284.697198379632</v>
      </c>
      <c r="C7" s="2"/>
      <c r="D7" s="5"/>
      <c r="E7" s="1"/>
      <c r="F7" s="1"/>
      <c r="G7" s="1"/>
      <c r="H7" s="1"/>
      <c r="I7" s="6"/>
    </row>
    <row r="8" spans="1:9" s="64" customFormat="1" ht="57" customHeight="1" thickBot="1" x14ac:dyDescent="0.25">
      <c r="A8" s="66" t="s">
        <v>0</v>
      </c>
      <c r="B8" s="66" t="s">
        <v>1</v>
      </c>
      <c r="C8" s="66" t="s">
        <v>107</v>
      </c>
      <c r="D8" s="66" t="s">
        <v>108</v>
      </c>
      <c r="E8" s="67" t="s">
        <v>109</v>
      </c>
      <c r="F8" s="67" t="s">
        <v>110</v>
      </c>
      <c r="G8" s="67" t="s">
        <v>111</v>
      </c>
      <c r="H8" s="67" t="s">
        <v>112</v>
      </c>
      <c r="I8" s="68" t="s">
        <v>239</v>
      </c>
    </row>
    <row r="9" spans="1:9" s="61" customFormat="1" ht="11.45" customHeight="1" x14ac:dyDescent="0.2">
      <c r="A9" s="62" t="str">
        <f>mwreg!A9</f>
        <v>2588/33088</v>
      </c>
      <c r="B9" s="62" t="str">
        <f>mwreg!B9</f>
        <v>Haparanda (SMHI) nedlagd</v>
      </c>
      <c r="C9" s="62" t="str">
        <f>mwreg!C9</f>
        <v>65° 46' 18''</v>
      </c>
      <c r="D9" s="62" t="str">
        <f>mwreg!D9</f>
        <v>23° 54' 11''</v>
      </c>
      <c r="E9" s="70"/>
      <c r="F9" s="70"/>
      <c r="G9" s="70">
        <f>mwreg!G9</f>
        <v>5.9</v>
      </c>
      <c r="H9" s="70"/>
      <c r="I9" s="71">
        <f>mwreg!I9</f>
        <v>0.72</v>
      </c>
    </row>
    <row r="10" spans="1:9" s="64" customFormat="1" ht="11.45" customHeight="1" x14ac:dyDescent="0.2">
      <c r="A10" s="62" t="str">
        <f>mwreg!A10</f>
        <v>59/35103</v>
      </c>
      <c r="B10" s="62" t="str">
        <f>mwreg!B10</f>
        <v>KALIX KARLSBORG (SJÖV)</v>
      </c>
      <c r="C10" s="62" t="str">
        <f>mwreg!C10</f>
        <v>65° 47' 20''</v>
      </c>
      <c r="D10" s="62" t="str">
        <f>mwreg!D10</f>
        <v>23° 18' 12''</v>
      </c>
      <c r="E10" s="69"/>
      <c r="F10" s="69"/>
      <c r="G10" s="70">
        <f>mwreg!G10</f>
        <v>6.1</v>
      </c>
      <c r="H10" s="69"/>
      <c r="I10" s="71">
        <f>mwreg!I10</f>
        <v>0.72</v>
      </c>
    </row>
    <row r="11" spans="1:9" ht="11.45" customHeight="1" x14ac:dyDescent="0.2">
      <c r="A11" s="62" t="str">
        <f>mwreg!A11</f>
        <v>2157/33051</v>
      </c>
      <c r="B11" s="62" t="str">
        <f>mwreg!B11</f>
        <v>KALIX STORÖN (SMHI)</v>
      </c>
      <c r="C11" s="62" t="str">
        <f>mwreg!C11</f>
        <v>65° 41' 49''</v>
      </c>
      <c r="D11" s="62" t="str">
        <f>mwreg!D11</f>
        <v>23° 05' 46''</v>
      </c>
      <c r="E11" s="69">
        <f>mwreg!E11</f>
        <v>-97.5</v>
      </c>
      <c r="F11" s="69">
        <f>mwreg!F11</f>
        <v>-17.200000000000045</v>
      </c>
      <c r="G11" s="69">
        <f>mwreg!G11</f>
        <v>5.3</v>
      </c>
      <c r="H11" s="69">
        <f>mwreg!H11</f>
        <v>4.2999999999999545</v>
      </c>
      <c r="I11" s="72">
        <f>mwreg!I11</f>
        <v>0.73</v>
      </c>
    </row>
    <row r="12" spans="1:9" ht="11.45" customHeight="1" x14ac:dyDescent="0.2">
      <c r="A12" s="62" t="str">
        <f>mwreg!A12</f>
        <v>115/35183</v>
      </c>
      <c r="B12" s="62" t="str">
        <f>mwreg!B12</f>
        <v>STRÖMÖREN (SJÖV)</v>
      </c>
      <c r="C12" s="62" t="str">
        <f>mwreg!C12</f>
        <v>65° 32' 59''</v>
      </c>
      <c r="D12" s="62" t="str">
        <f>mwreg!D12</f>
        <v>22° 14' 18''</v>
      </c>
      <c r="E12" s="69"/>
      <c r="F12" s="69"/>
      <c r="G12" s="70">
        <f>mwreg!G12</f>
        <v>4.4000000000000004</v>
      </c>
      <c r="H12" s="69"/>
      <c r="I12" s="71">
        <f>mwreg!I12</f>
        <v>0.75</v>
      </c>
    </row>
    <row r="13" spans="1:9" ht="11.45" customHeight="1" x14ac:dyDescent="0.2">
      <c r="A13" s="62" t="str">
        <f>mwreg!A13</f>
        <v>2055/33052</v>
      </c>
      <c r="B13" s="62" t="str">
        <f>mwreg!B13</f>
        <v>FURUÖGRUND (SMHI)</v>
      </c>
      <c r="C13" s="62" t="str">
        <f>mwreg!C13</f>
        <v>64° 54' 57''</v>
      </c>
      <c r="D13" s="62" t="str">
        <f>mwreg!D13</f>
        <v>21° 13' 50''</v>
      </c>
      <c r="E13" s="69">
        <f>mwreg!E13</f>
        <v>-102</v>
      </c>
      <c r="F13" s="69">
        <f>mwreg!F13</f>
        <v>-24.799999999999955</v>
      </c>
      <c r="G13" s="69">
        <f>mwreg!G13</f>
        <v>0.5</v>
      </c>
      <c r="H13" s="69">
        <f>mwreg!H13</f>
        <v>-0.39999999999997726</v>
      </c>
      <c r="I13" s="72">
        <f>mwreg!I13</f>
        <v>0.82</v>
      </c>
    </row>
    <row r="14" spans="1:9" ht="11.45" customHeight="1" x14ac:dyDescent="0.2">
      <c r="A14" s="62" t="str">
        <f>mwreg!A14</f>
        <v>40/35240</v>
      </c>
      <c r="B14" s="62" t="str">
        <f>mwreg!B14</f>
        <v>GÅSÖREN (SJÖV)</v>
      </c>
      <c r="C14" s="62" t="str">
        <f>mwreg!C14</f>
        <v>64° 40' 43''</v>
      </c>
      <c r="D14" s="62" t="str">
        <f>mwreg!D14</f>
        <v>21° 14' 57''</v>
      </c>
      <c r="E14" s="69"/>
      <c r="F14" s="69"/>
      <c r="G14" s="70">
        <f>mwreg!G14</f>
        <v>0.8</v>
      </c>
      <c r="H14" s="69"/>
      <c r="I14" s="71">
        <f>mwreg!I14</f>
        <v>0.82</v>
      </c>
    </row>
    <row r="15" spans="1:9" ht="11.45" customHeight="1" x14ac:dyDescent="0.2">
      <c r="A15" s="62" t="str">
        <f>mwreg!A15</f>
        <v>2056/33053</v>
      </c>
      <c r="B15" s="62" t="str">
        <f>mwreg!B15</f>
        <v>RATAN (SMHI)</v>
      </c>
      <c r="C15" s="62" t="str">
        <f>mwreg!C15</f>
        <v>63° 59' 10''</v>
      </c>
      <c r="D15" s="62" t="str">
        <f>mwreg!D15</f>
        <v>20° 53' 42''</v>
      </c>
      <c r="E15" s="69">
        <f>mwreg!E15</f>
        <v>-104.50000000000011</v>
      </c>
      <c r="F15" s="69">
        <f>mwreg!F15</f>
        <v>-25.000000000000114</v>
      </c>
      <c r="G15" s="69">
        <f>mwreg!G15</f>
        <v>2.4</v>
      </c>
      <c r="H15" s="69">
        <f>mwreg!H15</f>
        <v>1.4999999999998863</v>
      </c>
      <c r="I15" s="72">
        <f>mwreg!I15</f>
        <v>0.8</v>
      </c>
    </row>
    <row r="16" spans="1:9" ht="11.45" customHeight="1" x14ac:dyDescent="0.2">
      <c r="A16" s="62" t="str">
        <f>mwreg!A16</f>
        <v>57/35124</v>
      </c>
      <c r="B16" s="62" t="str">
        <f>mwreg!B16</f>
        <v>HOLMSUND (SJÖV)</v>
      </c>
      <c r="C16" s="62" t="str">
        <f>mwreg!C16</f>
        <v>63° 41' 45''</v>
      </c>
      <c r="D16" s="62" t="str">
        <f>mwreg!D16</f>
        <v>20° 20' 50''</v>
      </c>
      <c r="E16" s="69"/>
      <c r="F16" s="69"/>
      <c r="G16" s="69">
        <f>mwreg!G16</f>
        <v>1.4</v>
      </c>
      <c r="H16" s="69"/>
      <c r="I16" s="71">
        <f>mwreg!I16</f>
        <v>0.8</v>
      </c>
    </row>
    <row r="17" spans="1:9" ht="11.45" customHeight="1" x14ac:dyDescent="0.2">
      <c r="A17" s="62" t="str">
        <f>mwreg!A17</f>
        <v>2321/33054</v>
      </c>
      <c r="B17" s="62" t="str">
        <f>mwreg!B17</f>
        <v>Skagsudde (SMHI) nedlagd</v>
      </c>
      <c r="C17" s="62" t="str">
        <f>mwreg!C17</f>
        <v>63° 11' 26''</v>
      </c>
      <c r="D17" s="62" t="str">
        <f>mwreg!D17</f>
        <v>19° 00' 45''</v>
      </c>
      <c r="E17" s="70">
        <f>mwreg!E17</f>
        <v>-107</v>
      </c>
      <c r="F17" s="70">
        <f>mwreg!F17</f>
        <v>-28.700000000000045</v>
      </c>
      <c r="G17" s="70">
        <f>mwreg!G17</f>
        <v>-0.4</v>
      </c>
      <c r="H17" s="70">
        <f>mwreg!H17</f>
        <v>-1.2999999999999545</v>
      </c>
      <c r="I17" s="71">
        <f>mwreg!I17</f>
        <v>0.8</v>
      </c>
    </row>
    <row r="18" spans="1:9" ht="11.45" customHeight="1" x14ac:dyDescent="0.2">
      <c r="A18" s="62" t="str">
        <f>mwreg!A18</f>
        <v>110/35138</v>
      </c>
      <c r="B18" s="62" t="str">
        <f>mwreg!B18</f>
        <v>SKAGSUDDE2 (SJÖV)</v>
      </c>
      <c r="C18" s="62" t="str">
        <f>mwreg!C18</f>
        <v>63° 11' 26''</v>
      </c>
      <c r="D18" s="62" t="str">
        <f>mwreg!D18</f>
        <v>19° 00' 45''</v>
      </c>
      <c r="E18" s="69"/>
      <c r="F18" s="69"/>
      <c r="G18" s="69">
        <f>mwreg!G18</f>
        <v>-0.4</v>
      </c>
      <c r="H18" s="69"/>
      <c r="I18" s="72">
        <f>mwreg!I18</f>
        <v>0.8</v>
      </c>
    </row>
    <row r="19" spans="1:9" ht="11.45" customHeight="1" x14ac:dyDescent="0.2">
      <c r="A19" s="62" t="str">
        <f>mwreg!A19</f>
        <v>172/35209</v>
      </c>
      <c r="B19" s="62" t="str">
        <f>mwreg!B19</f>
        <v>LUNDE (SJÖV)</v>
      </c>
      <c r="C19" s="62" t="str">
        <f>mwreg!C19</f>
        <v>62° 52' 50''</v>
      </c>
      <c r="D19" s="62" t="str">
        <f>mwreg!D19</f>
        <v>17° 52' 35''</v>
      </c>
      <c r="E19" s="69"/>
      <c r="F19" s="69"/>
      <c r="G19" s="70">
        <f>mwreg!G19</f>
        <v>0.1</v>
      </c>
      <c r="H19" s="69"/>
      <c r="I19" s="71">
        <f>mwreg!I19</f>
        <v>0.77</v>
      </c>
    </row>
    <row r="20" spans="1:9" ht="11.45" customHeight="1" x14ac:dyDescent="0.2">
      <c r="A20" s="62" t="str">
        <f>mwreg!A20</f>
        <v>2062/33074</v>
      </c>
      <c r="B20" s="62" t="str">
        <f>mwreg!B20</f>
        <v>Draghällan (SMHI) nedlagd</v>
      </c>
      <c r="C20" s="62" t="str">
        <f>mwreg!C20</f>
        <v>62° 20' 00''</v>
      </c>
      <c r="D20" s="62" t="str">
        <f>mwreg!D20</f>
        <v>17° 28' 00''</v>
      </c>
      <c r="E20" s="70">
        <f>mwreg!E20</f>
        <v>-96.299999999999955</v>
      </c>
      <c r="F20" s="70">
        <f>mwreg!F20</f>
        <v>-27.299999999999955</v>
      </c>
      <c r="G20" s="70">
        <f>mwreg!G20</f>
        <v>0.7</v>
      </c>
      <c r="H20" s="70"/>
      <c r="I20" s="71">
        <f>mwreg!I20</f>
        <v>0.74</v>
      </c>
    </row>
    <row r="21" spans="1:9" ht="11.45" customHeight="1" x14ac:dyDescent="0.2">
      <c r="A21" s="62" t="str">
        <f>mwreg!A21</f>
        <v>2061/33055</v>
      </c>
      <c r="B21" s="62" t="str">
        <f>mwreg!B21</f>
        <v>SPIKARNA (SMHI)</v>
      </c>
      <c r="C21" s="62" t="str">
        <f>mwreg!C21</f>
        <v>62° 21' 48''</v>
      </c>
      <c r="D21" s="62" t="str">
        <f>mwreg!D21</f>
        <v>17° 31' 52''</v>
      </c>
      <c r="E21" s="69">
        <f>mwreg!E21</f>
        <v>-96.299999999999955</v>
      </c>
      <c r="F21" s="69">
        <f>mwreg!F21</f>
        <v>-27.5</v>
      </c>
      <c r="G21" s="69">
        <f>mwreg!G21</f>
        <v>0.7</v>
      </c>
      <c r="H21" s="69">
        <f>mwreg!H21</f>
        <v>-9.9999999999909051E-2</v>
      </c>
      <c r="I21" s="72">
        <f>mwreg!I21</f>
        <v>0.74</v>
      </c>
    </row>
    <row r="22" spans="1:9" ht="11.45" customHeight="1" x14ac:dyDescent="0.2">
      <c r="A22" s="62" t="str">
        <f>mwreg!A22</f>
        <v>66/35127</v>
      </c>
      <c r="B22" s="62" t="str">
        <f>mwreg!B22</f>
        <v>LJUSNE ORRSKÄRSKAJEN (SJÖV)</v>
      </c>
      <c r="C22" s="62" t="str">
        <f>mwreg!C22</f>
        <v>61° 12' 25''</v>
      </c>
      <c r="D22" s="62" t="str">
        <f>mwreg!D22</f>
        <v>17° 08' 44''</v>
      </c>
      <c r="E22" s="69"/>
      <c r="F22" s="69"/>
      <c r="G22" s="70">
        <f>mwreg!G22</f>
        <v>3.5</v>
      </c>
      <c r="H22" s="69"/>
      <c r="I22" s="71">
        <f>mwreg!I22</f>
        <v>0.64</v>
      </c>
    </row>
    <row r="23" spans="1:9" ht="11.45" customHeight="1" x14ac:dyDescent="0.2">
      <c r="A23" s="62" t="str">
        <f>mwreg!A23</f>
        <v>33/35119</v>
      </c>
      <c r="B23" s="62" t="str">
        <f>mwreg!B23</f>
        <v>BÖNAN (SJÖV)</v>
      </c>
      <c r="C23" s="62" t="str">
        <f>mwreg!C23</f>
        <v>60° 44' 19''</v>
      </c>
      <c r="D23" s="62" t="str">
        <f>mwreg!D23</f>
        <v>17° 19' 07''</v>
      </c>
      <c r="E23" s="69"/>
      <c r="F23" s="69"/>
      <c r="G23" s="70">
        <f>mwreg!G23</f>
        <v>5</v>
      </c>
      <c r="H23" s="69"/>
      <c r="I23" s="71">
        <f>mwreg!I23</f>
        <v>0.57999999999999996</v>
      </c>
    </row>
    <row r="24" spans="1:9" ht="11.45" customHeight="1" x14ac:dyDescent="0.2">
      <c r="A24" s="62" t="str">
        <f>mwreg!A24</f>
        <v>2067/33075</v>
      </c>
      <c r="B24" s="62" t="str">
        <f>mwreg!B24</f>
        <v>Björn (SMHI) nedlagd</v>
      </c>
      <c r="C24" s="62" t="str">
        <f>mwreg!C24</f>
        <v>60° 38' 00''</v>
      </c>
      <c r="D24" s="62" t="str">
        <f>mwreg!D24</f>
        <v>17° 58' 00''</v>
      </c>
      <c r="E24" s="70">
        <f>mwreg!E24</f>
        <v>-66.199999999999932</v>
      </c>
      <c r="F24" s="70">
        <f>mwreg!F24</f>
        <v>-10.799999999999955</v>
      </c>
      <c r="G24" s="70">
        <f>mwreg!G24</f>
        <v>5.6</v>
      </c>
      <c r="H24" s="70"/>
      <c r="I24" s="71">
        <f>mwreg!I24</f>
        <v>0.56000000000000005</v>
      </c>
    </row>
    <row r="25" spans="1:9" ht="11.45" customHeight="1" x14ac:dyDescent="0.2">
      <c r="A25" s="62" t="str">
        <f>mwreg!A25</f>
        <v>2179/33056</v>
      </c>
      <c r="B25" s="62" t="str">
        <f>mwreg!B25</f>
        <v>FORSMARK (SMHI)</v>
      </c>
      <c r="C25" s="62" t="str">
        <f>mwreg!C25</f>
        <v>60° 24' 31''</v>
      </c>
      <c r="D25" s="62" t="str">
        <f>mwreg!D25</f>
        <v>18° 12' 39''</v>
      </c>
      <c r="E25" s="69">
        <f>mwreg!E25</f>
        <v>-65.5</v>
      </c>
      <c r="F25" s="69">
        <f>mwreg!F25</f>
        <v>-12.100000000000023</v>
      </c>
      <c r="G25" s="69">
        <f>mwreg!G25</f>
        <v>6.3</v>
      </c>
      <c r="H25" s="69">
        <f>mwreg!H25</f>
        <v>5.7000000000000455</v>
      </c>
      <c r="I25" s="72">
        <f>mwreg!I25</f>
        <v>0.53</v>
      </c>
    </row>
    <row r="26" spans="1:9" ht="11.45" customHeight="1" x14ac:dyDescent="0.2">
      <c r="A26" s="62" t="str">
        <f>mwreg!A26</f>
        <v>?/?</v>
      </c>
      <c r="B26" s="62" t="str">
        <f>mwreg!B26</f>
        <v>KAPELLSKÄR (SJÖV) planerad</v>
      </c>
      <c r="C26" s="62" t="str">
        <f>mwreg!C26</f>
        <v>60° 43' 09''</v>
      </c>
      <c r="D26" s="62" t="str">
        <f>mwreg!D26</f>
        <v>19° 04' 08''</v>
      </c>
      <c r="E26" s="70"/>
      <c r="F26" s="70"/>
      <c r="G26" s="70">
        <f>mwreg!G26</f>
        <v>8.4</v>
      </c>
      <c r="H26" s="70"/>
      <c r="I26" s="71">
        <f>mwreg!I26</f>
        <v>0.4</v>
      </c>
    </row>
    <row r="27" spans="1:9" ht="11.45" customHeight="1" x14ac:dyDescent="0.2">
      <c r="A27" s="62" t="str">
        <f>mwreg!A27</f>
        <v>67/35154</v>
      </c>
      <c r="B27" s="62" t="str">
        <f>mwreg!B27</f>
        <v>LOUDDEN (SJÖV)</v>
      </c>
      <c r="C27" s="62" t="str">
        <f>mwreg!C27</f>
        <v>59° 20' 29''</v>
      </c>
      <c r="D27" s="62" t="str">
        <f>mwreg!D27</f>
        <v>18° 08' 14''</v>
      </c>
      <c r="E27" s="69"/>
      <c r="F27" s="69"/>
      <c r="G27" s="70">
        <f>mwreg!G27</f>
        <v>8.4</v>
      </c>
      <c r="H27" s="69"/>
      <c r="I27" s="72">
        <f>mwreg!I27</f>
        <v>0.38</v>
      </c>
    </row>
    <row r="28" spans="1:9" ht="11.45" customHeight="1" x14ac:dyDescent="0.2">
      <c r="A28" s="62" t="str">
        <f>mwreg!A28</f>
        <v>2069/33057</v>
      </c>
      <c r="B28" s="62" t="str">
        <f>mwreg!B28</f>
        <v>STOCKHOLM (SMHI)</v>
      </c>
      <c r="C28" s="62" t="str">
        <f>mwreg!C28</f>
        <v>59° 19' 27''</v>
      </c>
      <c r="D28" s="62" t="str">
        <f>mwreg!D28</f>
        <v>18° 04' 55''</v>
      </c>
      <c r="E28" s="69">
        <f>mwreg!E28</f>
        <v>-43.799999999999955</v>
      </c>
      <c r="F28" s="69">
        <f>mwreg!F28</f>
        <v>-7.7999999999999545</v>
      </c>
      <c r="G28" s="69">
        <f>mwreg!G28</f>
        <v>8.5</v>
      </c>
      <c r="H28" s="69">
        <f>mwreg!H28</f>
        <v>7.8000000000000682</v>
      </c>
      <c r="I28" s="72">
        <f>mwreg!I28</f>
        <v>0.38</v>
      </c>
    </row>
    <row r="29" spans="1:9" ht="11.45" customHeight="1" x14ac:dyDescent="0.2">
      <c r="A29" s="62" t="str">
        <f>mwreg!A29</f>
        <v>173/35112</v>
      </c>
      <c r="B29" s="62" t="str">
        <f>mwreg!B29</f>
        <v>NYNÄS FISKEHAMN (SJÖV)</v>
      </c>
      <c r="C29" s="62" t="str">
        <f>mwreg!C29</f>
        <v>58° 55' 03''</v>
      </c>
      <c r="D29" s="62" t="str">
        <f>mwreg!D29</f>
        <v>17° 58' 20''</v>
      </c>
      <c r="E29" s="69"/>
      <c r="F29" s="69"/>
      <c r="G29" s="70">
        <f>mwreg!G29</f>
        <v>8.1</v>
      </c>
      <c r="H29" s="69"/>
      <c r="I29" s="71">
        <f>mwreg!I29</f>
        <v>0.31</v>
      </c>
    </row>
    <row r="30" spans="1:9" ht="11.45" customHeight="1" x14ac:dyDescent="0.2">
      <c r="A30" s="62" t="str">
        <f>mwreg!A30</f>
        <v>2507/33058</v>
      </c>
      <c r="B30" s="62" t="str">
        <f>mwreg!B30</f>
        <v>LANDSORT NORRA (SMHI)</v>
      </c>
      <c r="C30" s="62" t="str">
        <f>mwreg!C30</f>
        <v>58° 46' 08''</v>
      </c>
      <c r="D30" s="62" t="str">
        <f>mwreg!D30</f>
        <v>17° 51' 32''</v>
      </c>
      <c r="E30" s="69">
        <f>mwreg!E30</f>
        <v>-39.900000000000091</v>
      </c>
      <c r="F30" s="69">
        <f>mwreg!F30</f>
        <v>-5.4000000000000909</v>
      </c>
      <c r="G30" s="69">
        <f>mwreg!G30</f>
        <v>8.3000000000000007</v>
      </c>
      <c r="H30" s="69">
        <f>mwreg!H30</f>
        <v>7.5999999999999091</v>
      </c>
      <c r="I30" s="72">
        <f>mwreg!I30</f>
        <v>0.28999999999999998</v>
      </c>
    </row>
    <row r="31" spans="1:9" ht="11.45" customHeight="1" x14ac:dyDescent="0.2">
      <c r="A31" s="62" t="str">
        <f>mwreg!A31</f>
        <v>2073/33076</v>
      </c>
      <c r="B31" s="62" t="str">
        <f>mwreg!B31</f>
        <v>Landsort (SMHI) nedlagd</v>
      </c>
      <c r="C31" s="62" t="str">
        <f>mwreg!C31</f>
        <v>58° 45' 00''</v>
      </c>
      <c r="D31" s="62" t="str">
        <f>mwreg!D31</f>
        <v>17° 52' 00''</v>
      </c>
      <c r="E31" s="70">
        <f>mwreg!E31</f>
        <v>-39.900000000000091</v>
      </c>
      <c r="F31" s="70">
        <f>mwreg!F31</f>
        <v>-5.3000000000000682</v>
      </c>
      <c r="G31" s="70">
        <f>mwreg!G31</f>
        <v>8.3000000000000007</v>
      </c>
      <c r="H31" s="70">
        <f>mwreg!H31</f>
        <v>8.1999999999999318</v>
      </c>
      <c r="I31" s="72">
        <f>mwreg!I31</f>
        <v>0.28999999999999998</v>
      </c>
    </row>
    <row r="32" spans="1:9" ht="11.45" customHeight="1" x14ac:dyDescent="0.2">
      <c r="A32" s="62" t="str">
        <f>mwreg!A32</f>
        <v>34/35185</v>
      </c>
      <c r="B32" s="62" t="str">
        <f>mwreg!B32</f>
        <v>E4 BRON SÖDERTÄLJE (SJÖV)</v>
      </c>
      <c r="C32" s="62" t="str">
        <f>mwreg!C32</f>
        <v>59° 11' 05''</v>
      </c>
      <c r="D32" s="62" t="str">
        <f>mwreg!D32</f>
        <v>17° 38' 34''</v>
      </c>
      <c r="E32" s="69"/>
      <c r="F32" s="69"/>
      <c r="G32" s="70">
        <f>mwreg!G32</f>
        <v>8.1999999999999993</v>
      </c>
      <c r="H32" s="69"/>
      <c r="I32" s="71">
        <f>mwreg!I32</f>
        <v>0.33</v>
      </c>
    </row>
    <row r="33" spans="1:9" ht="11.45" customHeight="1" x14ac:dyDescent="0.2">
      <c r="A33" s="62" t="str">
        <f>mwreg!A33</f>
        <v>10/35118</v>
      </c>
      <c r="B33" s="62" t="str">
        <f>mwreg!B33</f>
        <v>OXELÖSUND VINTERKLASEN (SJÖV)</v>
      </c>
      <c r="C33" s="62" t="str">
        <f>mwreg!C33</f>
        <v>58° 39' 42''</v>
      </c>
      <c r="D33" s="62" t="str">
        <f>mwreg!D33</f>
        <v>17° 07' 29''</v>
      </c>
      <c r="E33" s="69"/>
      <c r="F33" s="69"/>
      <c r="G33" s="70">
        <f>mwreg!G33</f>
        <v>9.3000000000000007</v>
      </c>
      <c r="H33" s="69"/>
      <c r="I33" s="71">
        <f>mwreg!I33</f>
        <v>0.26</v>
      </c>
    </row>
    <row r="34" spans="1:9" ht="11.45" customHeight="1" x14ac:dyDescent="0.2">
      <c r="A34" s="62" t="str">
        <f>mwreg!A34</f>
        <v>58/35101</v>
      </c>
      <c r="B34" s="62" t="str">
        <f>mwreg!B34</f>
        <v>JUTEN (SJÖV)</v>
      </c>
      <c r="C34" s="62" t="str">
        <f>mwreg!C34</f>
        <v>58° 38' 03''</v>
      </c>
      <c r="D34" s="62" t="str">
        <f>mwreg!D34</f>
        <v>16° 19' 29''</v>
      </c>
      <c r="E34" s="69"/>
      <c r="F34" s="69"/>
      <c r="G34" s="70">
        <f>mwreg!G34</f>
        <v>9.8000000000000007</v>
      </c>
      <c r="H34" s="69"/>
      <c r="I34" s="71">
        <f>mwreg!I34</f>
        <v>0.25</v>
      </c>
    </row>
    <row r="35" spans="1:9" ht="11.45" customHeight="1" x14ac:dyDescent="0.2">
      <c r="A35" s="62" t="str">
        <f>mwreg!A35</f>
        <v>2076/33059</v>
      </c>
      <c r="B35" s="62" t="str">
        <f>mwreg!B35</f>
        <v>Marviken (SMHI) nedlagd</v>
      </c>
      <c r="C35" s="62" t="str">
        <f>mwreg!C35</f>
        <v>58° 33' 13''</v>
      </c>
      <c r="D35" s="62" t="str">
        <f>mwreg!D35</f>
        <v>16° 50' 14''</v>
      </c>
      <c r="E35" s="70">
        <f>mwreg!E35</f>
        <v>-28</v>
      </c>
      <c r="F35" s="70">
        <f>mwreg!F35</f>
        <v>-6.7999999999999545</v>
      </c>
      <c r="G35" s="70">
        <f>mwreg!G35</f>
        <v>9.8000000000000007</v>
      </c>
      <c r="H35" s="70"/>
      <c r="I35" s="71">
        <f>mwreg!I35</f>
        <v>0.25</v>
      </c>
    </row>
    <row r="36" spans="1:9" ht="11.45" customHeight="1" x14ac:dyDescent="0.2">
      <c r="A36" s="62" t="str">
        <f>mwreg!A36</f>
        <v>2545/33085</v>
      </c>
      <c r="B36" s="62" t="str">
        <f>mwreg!B36</f>
        <v>ARKÖ (SMHI)</v>
      </c>
      <c r="C36" s="62" t="str">
        <f>mwreg!C36</f>
        <v>58° 29' 03''</v>
      </c>
      <c r="D36" s="62" t="str">
        <f>mwreg!D36</f>
        <v>16° 57' 38''</v>
      </c>
      <c r="E36" s="70">
        <f>mwreg!E36</f>
        <v>-27.999999999999954</v>
      </c>
      <c r="F36" s="70">
        <f>mwreg!F36</f>
        <v>-6.7999999999999083</v>
      </c>
      <c r="G36" s="69">
        <f>mwreg!G36</f>
        <v>9.8000000000000007</v>
      </c>
      <c r="H36" s="69"/>
      <c r="I36" s="72">
        <f>mwreg!I36</f>
        <v>0.25</v>
      </c>
    </row>
    <row r="37" spans="1:9" ht="11.45" customHeight="1" x14ac:dyDescent="0.2">
      <c r="A37" s="62" t="str">
        <f>mwreg!A37</f>
        <v>93/35151</v>
      </c>
      <c r="B37" s="62" t="str">
        <f>mwreg!B37</f>
        <v>VÄSTERVIK (SJÖV)</v>
      </c>
      <c r="C37" s="62" t="str">
        <f>mwreg!C37</f>
        <v>57° 44' 54''</v>
      </c>
      <c r="D37" s="62" t="str">
        <f>mwreg!D37</f>
        <v>16° 40' 31''</v>
      </c>
      <c r="E37" s="70"/>
      <c r="F37" s="70"/>
      <c r="G37" s="70">
        <f>mwreg!G37</f>
        <v>11</v>
      </c>
      <c r="H37" s="69"/>
      <c r="I37" s="71">
        <f>mwreg!I37</f>
        <v>0.16</v>
      </c>
    </row>
    <row r="38" spans="1:9" ht="11.45" customHeight="1" x14ac:dyDescent="0.2">
      <c r="A38" s="62" t="str">
        <f>mwreg!A38</f>
        <v>81/35114</v>
      </c>
      <c r="B38" s="62" t="str">
        <f>mwreg!B38</f>
        <v>SLITE (SJÖV)</v>
      </c>
      <c r="C38" s="62" t="str">
        <f>mwreg!C38</f>
        <v>57° 42' 21''</v>
      </c>
      <c r="D38" s="62" t="str">
        <f>mwreg!D38</f>
        <v>18° 48' 36''</v>
      </c>
      <c r="E38" s="69"/>
      <c r="F38" s="69"/>
      <c r="G38" s="70">
        <f>mwreg!G38</f>
        <v>9</v>
      </c>
      <c r="H38" s="69"/>
      <c r="I38" s="71">
        <f>mwreg!I38</f>
        <v>0.12</v>
      </c>
    </row>
    <row r="39" spans="1:9" ht="11.45" customHeight="1" x14ac:dyDescent="0.2">
      <c r="A39" s="62" t="str">
        <f>mwreg!A39</f>
        <v>2080/33060</v>
      </c>
      <c r="B39" s="62" t="str">
        <f>mwreg!B39</f>
        <v>VISBY (SMHI)</v>
      </c>
      <c r="C39" s="62" t="str">
        <f>mwreg!C39</f>
        <v>57° 38' 21''</v>
      </c>
      <c r="D39" s="62" t="str">
        <f>mwreg!D39</f>
        <v>18° 17' 04''</v>
      </c>
      <c r="E39" s="69">
        <f>mwreg!E39</f>
        <v>-15.200000000000045</v>
      </c>
      <c r="F39" s="69">
        <f>mwreg!F39</f>
        <v>1.5999999999999091</v>
      </c>
      <c r="G39" s="69">
        <f>mwreg!G39</f>
        <v>9</v>
      </c>
      <c r="H39" s="69">
        <f>mwreg!H39</f>
        <v>8.3999999999999773</v>
      </c>
      <c r="I39" s="72">
        <f>mwreg!I39</f>
        <v>0.12</v>
      </c>
    </row>
    <row r="40" spans="1:9" ht="11.45" customHeight="1" x14ac:dyDescent="0.2">
      <c r="A40" s="62" t="str">
        <f>mwreg!A40</f>
        <v>77/35200</v>
      </c>
      <c r="B40" s="62" t="str">
        <f>mwreg!B40</f>
        <v>SIMPEVARP (SKB)</v>
      </c>
      <c r="C40" s="62" t="str">
        <f>mwreg!C40</f>
        <v>57° 24' 37''</v>
      </c>
      <c r="D40" s="62" t="str">
        <f>mwreg!D40</f>
        <v>16° 40' 33''</v>
      </c>
      <c r="E40" s="69"/>
      <c r="F40" s="69"/>
      <c r="G40" s="70">
        <f>mwreg!G40</f>
        <v>11.7</v>
      </c>
      <c r="H40" s="69"/>
      <c r="I40" s="71">
        <f>mwreg!I40</f>
        <v>0.12</v>
      </c>
    </row>
    <row r="41" spans="1:9" ht="11.45" customHeight="1" x14ac:dyDescent="0.2">
      <c r="A41" s="62" t="str">
        <f>mwreg!A41</f>
        <v>2083/33061</v>
      </c>
      <c r="B41" s="62" t="str">
        <f>mwreg!B41</f>
        <v>ÖLANDS NORRA UDDE (SMHI)</v>
      </c>
      <c r="C41" s="62" t="str">
        <f>mwreg!C41</f>
        <v>57° 21' 58''</v>
      </c>
      <c r="D41" s="62" t="str">
        <f>mwreg!D41</f>
        <v>17° 05' 50''</v>
      </c>
      <c r="E41" s="69">
        <f>mwreg!E41</f>
        <v>-4.2999999999999545</v>
      </c>
      <c r="F41" s="69">
        <f>mwreg!F41</f>
        <v>-3.6999999999999318</v>
      </c>
      <c r="G41" s="69">
        <f>mwreg!G41</f>
        <v>11.6</v>
      </c>
      <c r="H41" s="69">
        <f>mwreg!H41</f>
        <v>11.000000000000114</v>
      </c>
      <c r="I41" s="72">
        <f>mwreg!I41</f>
        <v>0.12</v>
      </c>
    </row>
    <row r="42" spans="1:9" ht="11.45" customHeight="1" x14ac:dyDescent="0.2">
      <c r="A42" s="62" t="str">
        <f>mwreg!A42</f>
        <v>2085/33062</v>
      </c>
      <c r="B42" s="62" t="str">
        <f>mwreg!B42</f>
        <v>OSKARSHAMN (SMHI)</v>
      </c>
      <c r="C42" s="62" t="str">
        <f>mwreg!C42</f>
        <v>57° 16' 30''</v>
      </c>
      <c r="D42" s="62" t="str">
        <f>mwreg!D42</f>
        <v>16° 28' 41''</v>
      </c>
      <c r="E42" s="69">
        <f>mwreg!E42</f>
        <v>-4.5</v>
      </c>
      <c r="F42" s="69">
        <f>mwreg!F42</f>
        <v>-3.2999999999999545</v>
      </c>
      <c r="G42" s="69">
        <f>mwreg!G42</f>
        <v>12</v>
      </c>
      <c r="H42" s="69">
        <f>mwreg!H42</f>
        <v>11.399999999999977</v>
      </c>
      <c r="I42" s="72">
        <f>mwreg!I42</f>
        <v>0.1</v>
      </c>
    </row>
    <row r="43" spans="1:9" ht="11.45" customHeight="1" x14ac:dyDescent="0.2">
      <c r="A43" s="62" t="str">
        <f>mwreg!A43</f>
        <v>60/35105</v>
      </c>
      <c r="B43" s="62" t="str">
        <f>mwreg!B43</f>
        <v>KALMAR (SJÖV)</v>
      </c>
      <c r="C43" s="62" t="str">
        <f>mwreg!C43</f>
        <v>56° 39' 32''</v>
      </c>
      <c r="D43" s="62" t="str">
        <f>mwreg!D43</f>
        <v>16° 22' 42''</v>
      </c>
      <c r="E43" s="69"/>
      <c r="F43" s="69"/>
      <c r="G43" s="70">
        <f>mwreg!G43</f>
        <v>12.5</v>
      </c>
      <c r="H43" s="69"/>
      <c r="I43" s="71">
        <f>mwreg!I43</f>
        <v>0.06</v>
      </c>
    </row>
    <row r="44" spans="1:9" ht="11.45" customHeight="1" x14ac:dyDescent="0.2">
      <c r="A44" s="62" t="str">
        <f>mwreg!A44</f>
        <v>2088/33063</v>
      </c>
      <c r="B44" s="62" t="str">
        <f>mwreg!B44</f>
        <v>KUNGSHOLMSFORT (SMHI)</v>
      </c>
      <c r="C44" s="62" t="str">
        <f>mwreg!C44</f>
        <v>56° 06' 19''</v>
      </c>
      <c r="D44" s="62" t="str">
        <f>mwreg!D44</f>
        <v>15° 35' 22''</v>
      </c>
      <c r="E44" s="69">
        <f>mwreg!E44</f>
        <v>4.5999999999999091</v>
      </c>
      <c r="F44" s="69">
        <f>mwreg!F44</f>
        <v>0.79999999999995453</v>
      </c>
      <c r="G44" s="69">
        <f>mwreg!G44</f>
        <v>13.3</v>
      </c>
      <c r="H44" s="69">
        <f>mwreg!H44</f>
        <v>12.599999999999909</v>
      </c>
      <c r="I44" s="72">
        <f>mwreg!I44</f>
        <v>0.01</v>
      </c>
    </row>
    <row r="45" spans="1:9" ht="11.45" customHeight="1" x14ac:dyDescent="0.2">
      <c r="A45" s="62" t="str">
        <f>mwreg!A45</f>
        <v>61/35131</v>
      </c>
      <c r="B45" s="62" t="str">
        <f>mwreg!B45</f>
        <v>KARLSHAMN (SJÖV)</v>
      </c>
      <c r="C45" s="62" t="str">
        <f>mwreg!C45</f>
        <v>56° 09' 15''</v>
      </c>
      <c r="D45" s="62" t="str">
        <f>mwreg!D45</f>
        <v>14° 49' 17''</v>
      </c>
      <c r="E45" s="69"/>
      <c r="F45" s="69"/>
      <c r="G45" s="70">
        <f>mwreg!G45</f>
        <v>13.8</v>
      </c>
      <c r="H45" s="69"/>
      <c r="I45" s="71">
        <f>mwreg!I45</f>
        <v>-0.01</v>
      </c>
    </row>
    <row r="46" spans="1:9" ht="11.45" customHeight="1" x14ac:dyDescent="0.2">
      <c r="A46" s="62" t="str">
        <f>mwreg!A46</f>
        <v>2543/33083</v>
      </c>
      <c r="B46" s="62" t="str">
        <f>mwreg!B46</f>
        <v>Åhus (SMHI) nedlagd</v>
      </c>
      <c r="C46" s="62" t="str">
        <f>mwreg!C46</f>
        <v>55° 55' 42''</v>
      </c>
      <c r="D46" s="62" t="str">
        <f>mwreg!D46</f>
        <v>14° 19' 43''</v>
      </c>
      <c r="E46" s="69"/>
      <c r="F46" s="69"/>
      <c r="G46" s="69">
        <f>mwreg!G46</f>
        <v>15.1</v>
      </c>
      <c r="H46" s="69"/>
      <c r="I46" s="72">
        <f>mwreg!I46</f>
        <v>-0.05</v>
      </c>
    </row>
    <row r="47" spans="1:9" ht="11.45" customHeight="1" x14ac:dyDescent="0.2">
      <c r="A47" s="62" t="str">
        <f>mwreg!A47</f>
        <v>2320/33064</v>
      </c>
      <c r="B47" s="62" t="str">
        <f>mwreg!B47</f>
        <v>SIMRISHAMN (SMHI)</v>
      </c>
      <c r="C47" s="62" t="str">
        <f>mwreg!C47</f>
        <v>55° 33' 27''</v>
      </c>
      <c r="D47" s="62" t="str">
        <f>mwreg!D47</f>
        <v>14° 21' 28''</v>
      </c>
      <c r="E47" s="69"/>
      <c r="F47" s="69">
        <f>mwreg!F47</f>
        <v>8.2999999999999545</v>
      </c>
      <c r="G47" s="69">
        <f>mwreg!G47</f>
        <v>16</v>
      </c>
      <c r="H47" s="69">
        <f>mwreg!H47</f>
        <v>15.399999999999977</v>
      </c>
      <c r="I47" s="72">
        <f>mwreg!I47</f>
        <v>-0.08</v>
      </c>
    </row>
    <row r="48" spans="1:9" ht="11.45" customHeight="1" x14ac:dyDescent="0.2">
      <c r="A48" s="62" t="str">
        <f>mwreg!A48</f>
        <v>2093/33078</v>
      </c>
      <c r="B48" s="62" t="str">
        <f>mwreg!B48</f>
        <v>Ystad (SMHI) nedlagd</v>
      </c>
      <c r="C48" s="62" t="str">
        <f>mwreg!C48</f>
        <v>55° 25' 00''</v>
      </c>
      <c r="D48" s="62" t="str">
        <f>mwreg!D48</f>
        <v>13° 49' 00''</v>
      </c>
      <c r="E48" s="70"/>
      <c r="F48" s="70">
        <f>mwreg!F48</f>
        <v>6.7999999999999545</v>
      </c>
      <c r="G48" s="70">
        <f>mwreg!G48</f>
        <v>15.8</v>
      </c>
      <c r="H48" s="70"/>
      <c r="I48" s="71">
        <f>mwreg!I48</f>
        <v>-7.0000000000000007E-2</v>
      </c>
    </row>
    <row r="49" spans="1:9" ht="11.45" customHeight="1" x14ac:dyDescent="0.2">
      <c r="A49" s="62" t="str">
        <f>mwreg!A49</f>
        <v>94/35159</v>
      </c>
      <c r="B49" s="62" t="str">
        <f>mwreg!B49</f>
        <v>YSTAD2 (SJÖV)</v>
      </c>
      <c r="C49" s="62" t="str">
        <f>mwreg!C49</f>
        <v>55° 25' 00''</v>
      </c>
      <c r="D49" s="62" t="str">
        <f>mwreg!D49</f>
        <v>13° 49' 00''</v>
      </c>
      <c r="E49" s="70"/>
      <c r="F49" s="70">
        <f>mwreg!F49</f>
        <v>0</v>
      </c>
      <c r="G49" s="70">
        <f>mwreg!G49</f>
        <v>15.8</v>
      </c>
      <c r="H49" s="70"/>
      <c r="I49" s="71">
        <f>mwreg!I49</f>
        <v>-7.0000000000000007E-2</v>
      </c>
    </row>
    <row r="50" spans="1:9" ht="11.45" customHeight="1" x14ac:dyDescent="0.2">
      <c r="E50" s="73"/>
      <c r="I50" s="74"/>
    </row>
    <row r="51" spans="1:9" ht="11.45" customHeight="1" x14ac:dyDescent="0.2">
      <c r="B51" s="62" t="s">
        <v>280</v>
      </c>
      <c r="E51" s="73"/>
      <c r="I51" s="74"/>
    </row>
    <row r="52" spans="1:9" ht="11.45" customHeight="1" x14ac:dyDescent="0.2">
      <c r="B52" s="62" t="s">
        <v>117</v>
      </c>
      <c r="E52" s="73"/>
      <c r="I52" s="74"/>
    </row>
    <row r="53" spans="1:9" ht="11.45" customHeight="1" x14ac:dyDescent="0.2">
      <c r="E53" s="73"/>
      <c r="I53" s="74"/>
    </row>
    <row r="54" spans="1:9" ht="11.45" customHeight="1" x14ac:dyDescent="0.2">
      <c r="B54" s="75" t="s">
        <v>266</v>
      </c>
      <c r="E54" s="73"/>
      <c r="I54" s="74"/>
    </row>
    <row r="55" spans="1:9" ht="11.45" customHeight="1" x14ac:dyDescent="0.2">
      <c r="B55" s="77" t="s">
        <v>113</v>
      </c>
      <c r="E55" s="73"/>
      <c r="I55" s="74"/>
    </row>
    <row r="56" spans="1:9" ht="11.45" customHeight="1" x14ac:dyDescent="0.2">
      <c r="B56" s="77" t="s">
        <v>114</v>
      </c>
      <c r="E56" s="73"/>
      <c r="I56" s="74"/>
    </row>
    <row r="57" spans="1:9" ht="11.45" customHeight="1" x14ac:dyDescent="0.2">
      <c r="B57" s="77" t="s">
        <v>115</v>
      </c>
      <c r="E57" s="73"/>
      <c r="I57" s="74"/>
    </row>
    <row r="58" spans="1:9" ht="11.45" customHeight="1" x14ac:dyDescent="0.2">
      <c r="B58" s="77" t="s">
        <v>38</v>
      </c>
      <c r="E58" s="73"/>
      <c r="I58" s="74"/>
    </row>
    <row r="59" spans="1:9" s="64" customFormat="1" ht="57" customHeight="1" thickBot="1" x14ac:dyDescent="0.25">
      <c r="A59" s="66" t="s">
        <v>0</v>
      </c>
      <c r="B59" s="66" t="s">
        <v>1</v>
      </c>
      <c r="C59" s="66" t="s">
        <v>107</v>
      </c>
      <c r="D59" s="66" t="s">
        <v>108</v>
      </c>
      <c r="E59" s="67" t="s">
        <v>109</v>
      </c>
      <c r="F59" s="67" t="s">
        <v>110</v>
      </c>
      <c r="G59" s="67" t="s">
        <v>111</v>
      </c>
      <c r="H59" s="67" t="s">
        <v>112</v>
      </c>
      <c r="I59" s="68" t="s">
        <v>239</v>
      </c>
    </row>
    <row r="60" spans="1:9" ht="11.45" customHeight="1" x14ac:dyDescent="0.2">
      <c r="A60" s="62" t="str">
        <f>mwreg!A60</f>
        <v>30488/33065</v>
      </c>
      <c r="B60" s="62" t="str">
        <f>mwreg!B60</f>
        <v>SKANÖR (SMHI)</v>
      </c>
      <c r="C60" s="62" t="str">
        <f>mwreg!C60</f>
        <v>55° 25' 00''</v>
      </c>
      <c r="D60" s="62" t="str">
        <f>mwreg!D60</f>
        <v>12° 49' 47''</v>
      </c>
      <c r="E60" s="69"/>
      <c r="F60" s="69"/>
      <c r="G60" s="69">
        <f>mwreg!G60</f>
        <v>15.9</v>
      </c>
      <c r="H60" s="69">
        <f>mwreg!H60</f>
        <v>15.200000000000273</v>
      </c>
      <c r="I60" s="72">
        <f>mwreg!I60</f>
        <v>-0.08</v>
      </c>
    </row>
    <row r="61" spans="1:9" ht="11.45" customHeight="1" x14ac:dyDescent="0.2">
      <c r="A61" s="62" t="str">
        <f>mwreg!A61</f>
        <v>2095/33066</v>
      </c>
      <c r="B61" s="62" t="str">
        <f>mwreg!B61</f>
        <v>KLAGSHAMN (SMHI)</v>
      </c>
      <c r="C61" s="62" t="str">
        <f>mwreg!C61</f>
        <v>55° 31' 20''</v>
      </c>
      <c r="D61" s="62" t="str">
        <f>mwreg!D61</f>
        <v>12° 53' 37''</v>
      </c>
      <c r="E61" s="69">
        <f>mwreg!E61</f>
        <v>3</v>
      </c>
      <c r="F61" s="69">
        <f>mwreg!F61</f>
        <v>5.5</v>
      </c>
      <c r="G61" s="69">
        <f>mwreg!G61</f>
        <v>13.1</v>
      </c>
      <c r="H61" s="69">
        <f>mwreg!H61</f>
        <v>12.400000000000091</v>
      </c>
      <c r="I61" s="72">
        <f>mwreg!I61</f>
        <v>-0.06</v>
      </c>
    </row>
    <row r="62" spans="1:9" ht="11.45" customHeight="1" x14ac:dyDescent="0.2">
      <c r="A62" s="62" t="str">
        <f>mwreg!A62</f>
        <v>91/35136</v>
      </c>
      <c r="B62" s="62" t="str">
        <f>mwreg!B62</f>
        <v>FLINTEN 16 (SJÖV)</v>
      </c>
      <c r="C62" s="62" t="str">
        <f>mwreg!C62</f>
        <v>55° 33' 40''</v>
      </c>
      <c r="D62" s="62" t="str">
        <f>mwreg!D62</f>
        <v>12° 48' 34''</v>
      </c>
      <c r="E62" s="69"/>
      <c r="F62" s="69"/>
      <c r="G62" s="70">
        <f>mwreg!G62</f>
        <v>13</v>
      </c>
      <c r="H62" s="69"/>
      <c r="I62" s="71">
        <f>mwreg!I62</f>
        <v>-0.06</v>
      </c>
    </row>
    <row r="63" spans="1:9" ht="11.45" customHeight="1" x14ac:dyDescent="0.2">
      <c r="A63" s="62" t="str">
        <f>mwreg!A63</f>
        <v>86/35137</v>
      </c>
      <c r="B63" s="62" t="str">
        <f>mwreg!B63</f>
        <v>FLINTEN 7 (SJÖV)</v>
      </c>
      <c r="C63" s="62" t="str">
        <f>mwreg!C63</f>
        <v>55° 35' 22''</v>
      </c>
      <c r="D63" s="62" t="str">
        <f>mwreg!D63</f>
        <v>12° 50' 40''</v>
      </c>
      <c r="E63" s="69"/>
      <c r="F63" s="69"/>
      <c r="G63" s="70">
        <f>mwreg!G63</f>
        <v>12.9</v>
      </c>
      <c r="H63" s="69"/>
      <c r="I63" s="71">
        <f>mwreg!I63</f>
        <v>-0.06</v>
      </c>
    </row>
    <row r="64" spans="1:9" ht="11.45" customHeight="1" x14ac:dyDescent="0.2">
      <c r="A64" s="62" t="str">
        <f>mwreg!A64</f>
        <v>68/35152</v>
      </c>
      <c r="B64" s="62" t="str">
        <f>mwreg!B64</f>
        <v>MALMÖ HAMN (SJÖV)</v>
      </c>
      <c r="C64" s="62" t="str">
        <f>mwreg!C64</f>
        <v>55° 36' 49''</v>
      </c>
      <c r="D64" s="62" t="str">
        <f>mwreg!D64</f>
        <v>12° 59' 51''</v>
      </c>
      <c r="E64" s="69"/>
      <c r="F64" s="69"/>
      <c r="G64" s="70">
        <f>mwreg!G64</f>
        <v>12.7</v>
      </c>
      <c r="H64" s="69"/>
      <c r="I64" s="71">
        <f>mwreg!I64</f>
        <v>-0.06</v>
      </c>
    </row>
    <row r="65" spans="1:9" ht="11.45" customHeight="1" x14ac:dyDescent="0.2">
      <c r="A65" s="62" t="str">
        <f>mwreg!A65</f>
        <v>2098/33077</v>
      </c>
      <c r="B65" s="62" t="str">
        <f>mwreg!B65</f>
        <v>Malmö (SMHI) nedlagd</v>
      </c>
      <c r="C65" s="62" t="str">
        <f>mwreg!C65</f>
        <v>55° 37' 00''</v>
      </c>
      <c r="D65" s="62" t="str">
        <f>mwreg!D65</f>
        <v>13° 00' 00''</v>
      </c>
      <c r="E65" s="70">
        <f>mwreg!E65</f>
        <v>2.7000000000000455</v>
      </c>
      <c r="F65" s="70">
        <f>mwreg!F65</f>
        <v>4.7000000000000455</v>
      </c>
      <c r="G65" s="70">
        <f>mwreg!G65</f>
        <v>12.7</v>
      </c>
      <c r="H65" s="70"/>
      <c r="I65" s="71">
        <f>mwreg!I65</f>
        <v>-0.06</v>
      </c>
    </row>
    <row r="66" spans="1:9" ht="11.45" customHeight="1" x14ac:dyDescent="0.2">
      <c r="A66" s="62" t="str">
        <f>mwreg!A66</f>
        <v>2099/33067</v>
      </c>
      <c r="B66" s="62" t="str">
        <f>mwreg!B66</f>
        <v>BARSEBÄCK (SMHI)</v>
      </c>
      <c r="C66" s="62" t="str">
        <f>mwreg!C66</f>
        <v>55° 45' 23''</v>
      </c>
      <c r="D66" s="62" t="str">
        <f>mwreg!D66</f>
        <v>12° 54' 12''</v>
      </c>
      <c r="E66" s="69"/>
      <c r="F66" s="69"/>
      <c r="G66" s="69">
        <f>mwreg!G66</f>
        <v>12.3</v>
      </c>
      <c r="H66" s="69">
        <f>mwreg!H66</f>
        <v>12.299999999999955</v>
      </c>
      <c r="I66" s="72">
        <f>mwreg!I66</f>
        <v>-0.06</v>
      </c>
    </row>
    <row r="67" spans="1:9" ht="11.45" customHeight="1" x14ac:dyDescent="0.2">
      <c r="A67" s="62" t="str">
        <f>mwreg!A67</f>
        <v>45/35110</v>
      </c>
      <c r="B67" s="62" t="str">
        <f>mwreg!B67</f>
        <v>HELSINGBORG (SJÖV)</v>
      </c>
      <c r="C67" s="62" t="str">
        <f>mwreg!C67</f>
        <v>56° 02' 41''</v>
      </c>
      <c r="D67" s="62" t="str">
        <f>mwreg!D67</f>
        <v>12° 41' 14''</v>
      </c>
      <c r="E67" s="69"/>
      <c r="F67" s="69"/>
      <c r="G67" s="70">
        <f>mwreg!G67</f>
        <v>9.1999999999999993</v>
      </c>
      <c r="H67" s="69"/>
      <c r="I67" s="71">
        <f>mwreg!I67</f>
        <v>-0.09</v>
      </c>
    </row>
    <row r="68" spans="1:9" ht="11.45" customHeight="1" x14ac:dyDescent="0.2">
      <c r="A68" s="62" t="str">
        <f>mwreg!A68</f>
        <v>2228/33068</v>
      </c>
      <c r="B68" s="62" t="str">
        <f>mwreg!B68</f>
        <v>VIKEN (SMHI)</v>
      </c>
      <c r="C68" s="62" t="str">
        <f>mwreg!C68</f>
        <v>56° 08' 32''</v>
      </c>
      <c r="D68" s="62" t="str">
        <f>mwreg!D68</f>
        <v>12° 34' 45''</v>
      </c>
      <c r="E68" s="69">
        <f>mwreg!E68</f>
        <v>-1.6000000000000227</v>
      </c>
      <c r="F68" s="69">
        <f>mwreg!F68</f>
        <v>0.39999999999997726</v>
      </c>
      <c r="G68" s="69">
        <f>mwreg!G68</f>
        <v>8.1999999999999993</v>
      </c>
      <c r="H68" s="69">
        <f>mwreg!H68</f>
        <v>8.2000000000000455</v>
      </c>
      <c r="I68" s="72">
        <f>mwreg!I68</f>
        <v>-0.1</v>
      </c>
    </row>
    <row r="69" spans="1:9" ht="11.45" customHeight="1" x14ac:dyDescent="0.2">
      <c r="A69" s="62" t="str">
        <f>mwreg!A69</f>
        <v>2542/33082</v>
      </c>
      <c r="B69" s="62" t="str">
        <f>mwreg!B69</f>
        <v>Ängelholm (SMHI) nedlagd</v>
      </c>
      <c r="C69" s="62" t="str">
        <f>mwreg!C69</f>
        <v>56° 17' 53''</v>
      </c>
      <c r="D69" s="62" t="str">
        <f>mwreg!D69</f>
        <v>12° 47' 12''</v>
      </c>
      <c r="E69" s="69"/>
      <c r="F69" s="69"/>
      <c r="G69" s="69">
        <f>mwreg!G69</f>
        <v>7.4</v>
      </c>
      <c r="H69" s="69"/>
      <c r="I69" s="72">
        <f>mwreg!I69</f>
        <v>-0.06</v>
      </c>
    </row>
    <row r="70" spans="1:9" ht="11.45" customHeight="1" x14ac:dyDescent="0.2">
      <c r="A70" s="62" t="str">
        <f>mwreg!A70</f>
        <v>43/35115</v>
      </c>
      <c r="B70" s="62" t="str">
        <f>mwreg!B70</f>
        <v>HALMSTAD (SJÖV)</v>
      </c>
      <c r="C70" s="62" t="str">
        <f>mwreg!C70</f>
        <v>56° 38' 56''</v>
      </c>
      <c r="D70" s="62" t="str">
        <f>mwreg!D70</f>
        <v>12° 50' 09''</v>
      </c>
      <c r="E70" s="70"/>
      <c r="F70" s="70"/>
      <c r="G70" s="70">
        <f>mwreg!G70</f>
        <v>5.8</v>
      </c>
      <c r="H70" s="70"/>
      <c r="I70" s="71">
        <f>mwreg!I70</f>
        <v>0.01</v>
      </c>
    </row>
    <row r="71" spans="1:9" ht="11.45" customHeight="1" x14ac:dyDescent="0.2">
      <c r="A71" s="62" t="str">
        <f>mwreg!A71</f>
        <v>36/35213</v>
      </c>
      <c r="B71" s="62" t="str">
        <f>mwreg!B71</f>
        <v>FALKENBERG (SJÖV)</v>
      </c>
      <c r="C71" s="62" t="str">
        <f>mwreg!C71</f>
        <v>56° 53' 31''</v>
      </c>
      <c r="D71" s="62" t="str">
        <f>mwreg!D71</f>
        <v>12° 29' 22''</v>
      </c>
      <c r="E71" s="70"/>
      <c r="F71" s="70"/>
      <c r="G71" s="70">
        <f>mwreg!G71</f>
        <v>5</v>
      </c>
      <c r="H71" s="70"/>
      <c r="I71" s="71">
        <f>mwreg!I71</f>
        <v>0.05</v>
      </c>
    </row>
    <row r="72" spans="1:9" ht="11.45" customHeight="1" x14ac:dyDescent="0.2">
      <c r="A72" s="62" t="str">
        <f>mwreg!A72</f>
        <v>2104/33079</v>
      </c>
      <c r="B72" s="62" t="str">
        <f>mwreg!B72</f>
        <v>Varberg (SMHI) nedlagd</v>
      </c>
      <c r="C72" s="62" t="str">
        <f>mwreg!C72</f>
        <v>57° 06' 00''</v>
      </c>
      <c r="D72" s="62" t="str">
        <f>mwreg!D72</f>
        <v>12° 13' 00''</v>
      </c>
      <c r="E72" s="70">
        <f>mwreg!E72</f>
        <v>-10.5</v>
      </c>
      <c r="F72" s="70">
        <f>mwreg!F72</f>
        <v>-8.7000000000000455</v>
      </c>
      <c r="G72" s="70">
        <f>mwreg!G72</f>
        <v>4.4000000000000004</v>
      </c>
      <c r="H72" s="70"/>
      <c r="I72" s="71">
        <f>mwreg!I72</f>
        <v>7.0000000000000007E-2</v>
      </c>
    </row>
    <row r="73" spans="1:9" ht="11.45" customHeight="1" x14ac:dyDescent="0.2">
      <c r="A73" s="62" t="str">
        <f>mwreg!A73</f>
        <v>81/35133</v>
      </c>
      <c r="B73" s="62" t="str">
        <f>mwreg!B73</f>
        <v>VARBERG2 (SJÖV)</v>
      </c>
      <c r="C73" s="62" t="str">
        <f>mwreg!C73</f>
        <v>57° 06' 40''</v>
      </c>
      <c r="D73" s="62" t="str">
        <f>mwreg!D73</f>
        <v>12° 14' 19''</v>
      </c>
      <c r="E73" s="70"/>
      <c r="F73" s="70"/>
      <c r="G73" s="70">
        <f>mwreg!G73</f>
        <v>4.4000000000000004</v>
      </c>
      <c r="H73" s="70"/>
      <c r="I73" s="71">
        <f>mwreg!I73</f>
        <v>7.0000000000000007E-2</v>
      </c>
    </row>
    <row r="74" spans="1:9" ht="11.45" customHeight="1" x14ac:dyDescent="0.2">
      <c r="A74" s="62" t="str">
        <f>mwreg!A74</f>
        <v>2105/33069</v>
      </c>
      <c r="B74" s="62" t="str">
        <f>mwreg!B74</f>
        <v>RINGHALS (SMHI)</v>
      </c>
      <c r="C74" s="62" t="str">
        <f>mwreg!C74</f>
        <v>57° 14' 59''</v>
      </c>
      <c r="D74" s="62" t="str">
        <f>mwreg!D74</f>
        <v>12° 06' 45''</v>
      </c>
      <c r="E74" s="69">
        <f>mwreg!E74</f>
        <v>-10.700000000000045</v>
      </c>
      <c r="F74" s="69">
        <f>mwreg!F74</f>
        <v>-7.7000000000000455</v>
      </c>
      <c r="G74" s="69">
        <f>mwreg!G74</f>
        <v>3.8</v>
      </c>
      <c r="H74" s="69">
        <f>mwreg!H74</f>
        <v>3.2000000000000455</v>
      </c>
      <c r="I74" s="72">
        <f>mwreg!I74</f>
        <v>0.1</v>
      </c>
    </row>
    <row r="75" spans="1:9" ht="11.45" customHeight="1" x14ac:dyDescent="0.2">
      <c r="A75" s="62" t="str">
        <f>mwreg!A75</f>
        <v>2544/33084</v>
      </c>
      <c r="B75" s="62" t="str">
        <f>mwreg!B75</f>
        <v>ONSALA (CTH)</v>
      </c>
      <c r="C75" s="62" t="str">
        <f>mwreg!C75</f>
        <v>57° 23' 31''</v>
      </c>
      <c r="D75" s="62" t="str">
        <f>mwreg!D75</f>
        <v>11° 55' 09''</v>
      </c>
      <c r="E75" s="70"/>
      <c r="F75" s="70"/>
      <c r="G75" s="70">
        <f>mwreg!G75</f>
        <v>3.4</v>
      </c>
      <c r="H75" s="70">
        <f>mwreg!H75</f>
        <v>2.8170000000000073</v>
      </c>
      <c r="I75" s="71">
        <f>mwreg!I75</f>
        <v>0.12</v>
      </c>
    </row>
    <row r="76" spans="1:9" ht="11.45" customHeight="1" x14ac:dyDescent="0.2">
      <c r="A76" s="62" t="str">
        <f>mwreg!A76</f>
        <v>114/35144</v>
      </c>
      <c r="B76" s="62" t="str">
        <f>mwreg!B76</f>
        <v>VINGA2 (SJÖV)</v>
      </c>
      <c r="C76" s="62" t="str">
        <f>mwreg!C76</f>
        <v>57° 37' 54''</v>
      </c>
      <c r="D76" s="62" t="str">
        <f>mwreg!D76</f>
        <v>11° 36' 32''</v>
      </c>
      <c r="E76" s="70"/>
      <c r="F76" s="70"/>
      <c r="G76" s="70">
        <f>mwreg!G76</f>
        <v>1.7</v>
      </c>
      <c r="H76" s="70"/>
      <c r="I76" s="71">
        <f>mwreg!I76</f>
        <v>0.15</v>
      </c>
    </row>
    <row r="77" spans="1:9" ht="11.45" customHeight="1" x14ac:dyDescent="0.2">
      <c r="A77" s="62" t="str">
        <f>mwreg!A77</f>
        <v>100/35171</v>
      </c>
      <c r="B77" s="62" t="str">
        <f>mwreg!B77</f>
        <v>MÅVHOLMSBÅDAN (SJÖV)</v>
      </c>
      <c r="C77" s="62" t="str">
        <f>mwreg!C77</f>
        <v>57° 40' 20''</v>
      </c>
      <c r="D77" s="62" t="str">
        <f>mwreg!D77</f>
        <v>11° 42' 27''</v>
      </c>
      <c r="E77" s="69"/>
      <c r="F77" s="69"/>
      <c r="G77" s="70">
        <f>mwreg!G77</f>
        <v>2</v>
      </c>
      <c r="H77" s="69"/>
      <c r="I77" s="71">
        <f>mwreg!I77</f>
        <v>0.15</v>
      </c>
    </row>
    <row r="78" spans="1:9" ht="11.45" customHeight="1" x14ac:dyDescent="0.2">
      <c r="A78" s="62" t="str">
        <f>mwreg!A78</f>
        <v>2109/33070</v>
      </c>
      <c r="B78" s="62" t="str">
        <f>mwreg!B78</f>
        <v>GÖTEBORG-TORSHAMNEN (SMHI)</v>
      </c>
      <c r="C78" s="62" t="str">
        <f>mwreg!C78</f>
        <v>57° 41' 05''</v>
      </c>
      <c r="D78" s="62" t="str">
        <f>mwreg!D78</f>
        <v>11° 47' 26''</v>
      </c>
      <c r="E78" s="69">
        <f>mwreg!E78</f>
        <v>-19.700000000000045</v>
      </c>
      <c r="F78" s="69">
        <f>mwreg!F78</f>
        <v>-9.5</v>
      </c>
      <c r="G78" s="69">
        <f>mwreg!G78</f>
        <v>2.4</v>
      </c>
      <c r="H78" s="69">
        <f>mwreg!H78</f>
        <v>1.7999999999999545</v>
      </c>
      <c r="I78" s="72">
        <f>mwreg!I78</f>
        <v>0.16</v>
      </c>
    </row>
    <row r="79" spans="1:9" ht="11.45" customHeight="1" x14ac:dyDescent="0.2">
      <c r="A79" s="62">
        <f>mwreg!A79</f>
        <v>35120</v>
      </c>
      <c r="B79" s="62" t="str">
        <f>mwreg!B79</f>
        <v>TÅNGUDDEN GBG HAMN (SJÖV)</v>
      </c>
      <c r="C79" s="62" t="str">
        <f>mwreg!C79</f>
        <v>57° 40' 55''</v>
      </c>
      <c r="D79" s="62" t="str">
        <f>mwreg!D79</f>
        <v>11° 52' 20''</v>
      </c>
      <c r="E79" s="70"/>
      <c r="F79" s="70"/>
      <c r="G79" s="70">
        <f>mwreg!G79</f>
        <v>3.9</v>
      </c>
      <c r="H79" s="70"/>
      <c r="I79" s="71">
        <f>mwreg!I79</f>
        <v>0.16</v>
      </c>
    </row>
    <row r="80" spans="1:9" ht="11.45" customHeight="1" x14ac:dyDescent="0.2">
      <c r="A80" s="62">
        <f>mwreg!A80</f>
        <v>33091</v>
      </c>
      <c r="B80" s="62" t="str">
        <f>mwreg!B80</f>
        <v>Göteborg-Älvsborgsbron (GBG)</v>
      </c>
      <c r="C80" s="62" t="str">
        <f>mwreg!C80</f>
        <v>57° 41' 29''</v>
      </c>
      <c r="D80" s="62" t="str">
        <f>mwreg!D80</f>
        <v>11° 54' 04''</v>
      </c>
      <c r="E80" s="70"/>
      <c r="F80" s="70"/>
      <c r="G80" s="70">
        <f>mwreg!G80</f>
        <v>4.5999999999999996</v>
      </c>
      <c r="H80" s="70"/>
      <c r="I80" s="71">
        <f>mwreg!I80</f>
        <v>0.16</v>
      </c>
    </row>
    <row r="81" spans="1:9" ht="11.45" customHeight="1" x14ac:dyDescent="0.2">
      <c r="A81" s="62" t="str">
        <f>mwreg!A81</f>
        <v>2108/33080</v>
      </c>
      <c r="B81" s="62" t="str">
        <f>mwreg!B81</f>
        <v>Göteborg-Klippan (SMHI) nedlagd</v>
      </c>
      <c r="C81" s="62" t="str">
        <f>mwreg!C81</f>
        <v>57° 41' 30''</v>
      </c>
      <c r="D81" s="62" t="str">
        <f>mwreg!D81</f>
        <v>11° 54' 30''</v>
      </c>
      <c r="E81" s="70">
        <f>mwreg!E81</f>
        <v>-17.299999999999955</v>
      </c>
      <c r="F81" s="70">
        <f>mwreg!F81</f>
        <v>-7.2999999999999545</v>
      </c>
      <c r="G81" s="70">
        <f>mwreg!G81</f>
        <v>4.7</v>
      </c>
      <c r="H81" s="70"/>
      <c r="I81" s="71">
        <f>mwreg!I81</f>
        <v>0.16</v>
      </c>
    </row>
    <row r="82" spans="1:9" ht="11.45" customHeight="1" x14ac:dyDescent="0.2">
      <c r="A82" s="62">
        <f>mwreg!A82</f>
        <v>33096</v>
      </c>
      <c r="B82" s="62" t="str">
        <f>mwreg!B82</f>
        <v>GÖTEBORG-ERIKSBERG (GBG)</v>
      </c>
      <c r="C82" s="62" t="str">
        <f>mwreg!C82</f>
        <v>57° 41' 48''</v>
      </c>
      <c r="D82" s="62" t="str">
        <f>mwreg!D82</f>
        <v>11° 54' 32''</v>
      </c>
      <c r="E82" s="70"/>
      <c r="F82" s="70"/>
      <c r="G82" s="70">
        <f>mwreg!G82</f>
        <v>4.9000000000000004</v>
      </c>
      <c r="H82" s="70"/>
      <c r="I82" s="71">
        <f>mwreg!I82</f>
        <v>0.16</v>
      </c>
    </row>
    <row r="83" spans="1:9" ht="11.45" customHeight="1" x14ac:dyDescent="0.2">
      <c r="A83" s="62">
        <f>mwreg!A83</f>
        <v>33092</v>
      </c>
      <c r="B83" s="62" t="str">
        <f>mwreg!B83</f>
        <v>GÖTEBORG-GÖTAÄLVBRON (GBG)</v>
      </c>
      <c r="C83" s="62" t="str">
        <f>mwreg!C83</f>
        <v>57° 42' 53''</v>
      </c>
      <c r="D83" s="62" t="str">
        <f>mwreg!D83</f>
        <v>11° 58' 01''</v>
      </c>
      <c r="E83" s="70"/>
      <c r="F83" s="70"/>
      <c r="G83" s="70">
        <f>mwreg!G83</f>
        <v>7.2</v>
      </c>
      <c r="H83" s="70"/>
      <c r="I83" s="71">
        <f>mwreg!I83</f>
        <v>0.17</v>
      </c>
    </row>
    <row r="84" spans="1:9" ht="11.45" customHeight="1" x14ac:dyDescent="0.2">
      <c r="A84" s="62" t="str">
        <f>mwreg!A84</f>
        <v>2508/33089</v>
      </c>
      <c r="B84" s="62" t="str">
        <f>mwreg!B84</f>
        <v>Göteborg-Ringön (SMHI) nedlagd</v>
      </c>
      <c r="C84" s="62" t="str">
        <f>mwreg!C84</f>
        <v>57° 43' 05''</v>
      </c>
      <c r="D84" s="62" t="str">
        <f>mwreg!D84</f>
        <v>11° 58' 06''</v>
      </c>
      <c r="E84" s="70">
        <f>mwreg!E84</f>
        <v>-14.799999999999955</v>
      </c>
      <c r="F84" s="70">
        <f>mwreg!F84</f>
        <v>-4.7999999999999545</v>
      </c>
      <c r="G84" s="70">
        <f>mwreg!G84</f>
        <v>7.2</v>
      </c>
      <c r="H84" s="70"/>
      <c r="I84" s="71">
        <f>mwreg!I84</f>
        <v>0.17</v>
      </c>
    </row>
    <row r="85" spans="1:9" ht="11.45" customHeight="1" x14ac:dyDescent="0.2">
      <c r="A85" s="62">
        <f>mwreg!A85</f>
        <v>33093</v>
      </c>
      <c r="B85" s="62" t="str">
        <f>mwreg!B85</f>
        <v>GÖTEBORG-TINGSTADSTUNNELN (GBG)</v>
      </c>
      <c r="C85" s="62" t="str">
        <f>mwreg!C85</f>
        <v>57° 43' 23''</v>
      </c>
      <c r="D85" s="62" t="str">
        <f>mwreg!D85</f>
        <v>11° 59' 13''</v>
      </c>
      <c r="E85" s="70"/>
      <c r="F85" s="70"/>
      <c r="G85" s="70">
        <f>mwreg!G85</f>
        <v>7.5</v>
      </c>
      <c r="H85" s="70"/>
      <c r="I85" s="71">
        <f>mwreg!I85</f>
        <v>0.17</v>
      </c>
    </row>
    <row r="86" spans="1:9" ht="11.45" customHeight="1" x14ac:dyDescent="0.2">
      <c r="A86" s="62">
        <f>mwreg!A86</f>
        <v>33094</v>
      </c>
      <c r="B86" s="62" t="str">
        <f>mwreg!B86</f>
        <v>GÖTEBORG-LÄRJEHOLM (GBG)</v>
      </c>
      <c r="C86" s="62" t="str">
        <f>mwreg!C86</f>
        <v>57° 45' 57''</v>
      </c>
      <c r="D86" s="62" t="str">
        <f>mwreg!D86</f>
        <v>12° 00' 20''</v>
      </c>
      <c r="E86" s="70"/>
      <c r="F86" s="70"/>
      <c r="G86" s="70">
        <f>mwreg!G86</f>
        <v>13.3</v>
      </c>
      <c r="H86" s="70"/>
      <c r="I86" s="71">
        <f>mwreg!I86</f>
        <v>0.17</v>
      </c>
    </row>
    <row r="87" spans="1:9" ht="11.45" customHeight="1" x14ac:dyDescent="0.2">
      <c r="A87" s="62">
        <f>mwreg!A87</f>
        <v>33095</v>
      </c>
      <c r="B87" s="62" t="str">
        <f>mwreg!B87</f>
        <v>GÖTEBORG-AGNESBERG (GBG)</v>
      </c>
      <c r="C87" s="62" t="str">
        <f>mwreg!C87</f>
        <v>57° 47' 23''</v>
      </c>
      <c r="D87" s="62" t="str">
        <f>mwreg!D87</f>
        <v>12° 00' 36''</v>
      </c>
      <c r="E87" s="70"/>
      <c r="F87" s="70"/>
      <c r="G87" s="70">
        <f>mwreg!G87</f>
        <v>14.7</v>
      </c>
      <c r="H87" s="70"/>
      <c r="I87" s="71">
        <f>mwreg!I87</f>
        <v>0.17</v>
      </c>
    </row>
    <row r="88" spans="1:9" ht="11.45" customHeight="1" x14ac:dyDescent="0.2">
      <c r="A88" s="62" t="str">
        <f>mwreg!A88</f>
        <v>69/35104</v>
      </c>
      <c r="B88" s="62" t="str">
        <f>mwreg!B88</f>
        <v>MARSTRAND (SJÖV)</v>
      </c>
      <c r="C88" s="62" t="str">
        <f>mwreg!C88</f>
        <v>57° 53' 13''</v>
      </c>
      <c r="D88" s="62" t="str">
        <f>mwreg!D88</f>
        <v>11° 35' 37''</v>
      </c>
      <c r="E88" s="70"/>
      <c r="F88" s="70"/>
      <c r="G88" s="70">
        <f>mwreg!G88</f>
        <v>0.8</v>
      </c>
      <c r="H88" s="70"/>
      <c r="I88" s="71">
        <f>mwreg!I88</f>
        <v>0.16</v>
      </c>
    </row>
    <row r="89" spans="1:9" ht="11.45" customHeight="1" x14ac:dyDescent="0.2">
      <c r="A89" s="62" t="str">
        <f>mwreg!A89</f>
        <v>2110/33071</v>
      </c>
      <c r="B89" s="62" t="str">
        <f>mwreg!B89</f>
        <v>STENUNGSUND (SMHI)</v>
      </c>
      <c r="C89" s="62" t="str">
        <f>mwreg!C89</f>
        <v>58° 05' 36''</v>
      </c>
      <c r="D89" s="62" t="str">
        <f>mwreg!D89</f>
        <v>11° 49' 57''</v>
      </c>
      <c r="E89" s="69">
        <f>mwreg!E89</f>
        <v>-25</v>
      </c>
      <c r="F89" s="69">
        <f>mwreg!F89</f>
        <v>-13</v>
      </c>
      <c r="G89" s="69">
        <f>mwreg!G89</f>
        <v>-1.9</v>
      </c>
      <c r="H89" s="69">
        <f>mwreg!H89</f>
        <v>-2.5</v>
      </c>
      <c r="I89" s="72">
        <f>mwreg!I89</f>
        <v>0.17</v>
      </c>
    </row>
    <row r="90" spans="1:9" ht="11.45" customHeight="1" x14ac:dyDescent="0.2">
      <c r="A90" s="62" t="str">
        <f>mwreg!A90</f>
        <v>2541/33081</v>
      </c>
      <c r="B90" s="62" t="str">
        <f>mwreg!B90</f>
        <v>UDDEVALLA (SMHI)</v>
      </c>
      <c r="C90" s="62" t="str">
        <f>mwreg!C90</f>
        <v>58° 20' 51''</v>
      </c>
      <c r="D90" s="62" t="str">
        <f>mwreg!D90</f>
        <v>11° 53' 41''</v>
      </c>
      <c r="E90" s="70"/>
      <c r="F90" s="70"/>
      <c r="G90" s="69">
        <f>mwreg!G90</f>
        <v>-3.3</v>
      </c>
      <c r="H90" s="70"/>
      <c r="I90" s="72">
        <f>mwreg!I90</f>
        <v>0.19</v>
      </c>
    </row>
    <row r="91" spans="1:9" ht="11.45" customHeight="1" x14ac:dyDescent="0.2">
      <c r="A91" s="62">
        <f>mwreg!A91</f>
        <v>33099</v>
      </c>
      <c r="B91" s="62" t="str">
        <f>mwreg!B91</f>
        <v>KRISTINEBERG (GU)</v>
      </c>
      <c r="C91" s="62" t="str">
        <f>mwreg!C91</f>
        <v>58° 15' 00''</v>
      </c>
      <c r="D91" s="62" t="str">
        <f>mwreg!D91</f>
        <v>11° 27' 00''</v>
      </c>
      <c r="E91" s="70"/>
      <c r="F91" s="70"/>
      <c r="G91" s="70">
        <f>mwreg!G91</f>
        <v>-4.4000000000000004</v>
      </c>
      <c r="H91" s="70"/>
      <c r="I91" s="71">
        <f>mwreg!I91</f>
        <v>0.19</v>
      </c>
    </row>
    <row r="92" spans="1:9" ht="11.45" customHeight="1" x14ac:dyDescent="0.2">
      <c r="A92" s="62" t="str">
        <f>mwreg!A92</f>
        <v>32/35109</v>
      </c>
      <c r="B92" s="62" t="str">
        <f>mwreg!B92</f>
        <v>BROFJORDEN (SJÖV)</v>
      </c>
      <c r="C92" s="62" t="str">
        <f>mwreg!C92</f>
        <v>58° 20' 10''</v>
      </c>
      <c r="D92" s="62" t="str">
        <f>mwreg!D92</f>
        <v>11° 24' 17''</v>
      </c>
      <c r="E92" s="70"/>
      <c r="F92" s="70"/>
      <c r="G92" s="70">
        <f>mwreg!G92</f>
        <v>-4.5999999999999996</v>
      </c>
      <c r="H92" s="70"/>
      <c r="I92" s="71">
        <f>mwreg!I92</f>
        <v>0.18</v>
      </c>
    </row>
    <row r="93" spans="1:9" ht="11.45" customHeight="1" x14ac:dyDescent="0.2">
      <c r="A93" s="62" t="str">
        <f>mwreg!A93</f>
        <v>2111/33072</v>
      </c>
      <c r="B93" s="62" t="str">
        <f>mwreg!B93</f>
        <v>SMÖGEN (SMHI)</v>
      </c>
      <c r="C93" s="62" t="str">
        <f>mwreg!C93</f>
        <v>58° 21' 13''</v>
      </c>
      <c r="D93" s="62" t="str">
        <f>mwreg!D93</f>
        <v>11° 13' 04''</v>
      </c>
      <c r="E93" s="69">
        <f>mwreg!E93</f>
        <v>-29.800000000000068</v>
      </c>
      <c r="F93" s="69">
        <f>mwreg!F93</f>
        <v>-15.700000000000045</v>
      </c>
      <c r="G93" s="69">
        <f>mwreg!G93</f>
        <v>-4.5999999999999996</v>
      </c>
      <c r="H93" s="69">
        <f>mwreg!H93</f>
        <v>-5.2000000000000455</v>
      </c>
      <c r="I93" s="72">
        <f>mwreg!I93</f>
        <v>0.18</v>
      </c>
    </row>
    <row r="94" spans="1:9" ht="11.45" customHeight="1" x14ac:dyDescent="0.2">
      <c r="A94" s="62" t="str">
        <f>mwreg!A94</f>
        <v>2130/33073</v>
      </c>
      <c r="B94" s="62" t="str">
        <f>mwreg!B94</f>
        <v>KUNGSVIK (SMHI)</v>
      </c>
      <c r="C94" s="62" t="str">
        <f>mwreg!C94</f>
        <v>58° 59' 48''</v>
      </c>
      <c r="D94" s="62" t="str">
        <f>mwreg!D94</f>
        <v>11° 07' 38''</v>
      </c>
      <c r="E94" s="69">
        <f>mwreg!E94</f>
        <v>-35</v>
      </c>
      <c r="F94" s="69">
        <f>mwreg!F94</f>
        <v>-17.899999999999977</v>
      </c>
      <c r="G94" s="69">
        <f>mwreg!G94</f>
        <v>-5.2</v>
      </c>
      <c r="H94" s="69">
        <f>mwreg!H94</f>
        <v>-5.7999999999999545</v>
      </c>
      <c r="I94" s="72">
        <f>mwreg!I94</f>
        <v>0.2</v>
      </c>
    </row>
    <row r="95" spans="1:9" ht="11.45" customHeight="1" x14ac:dyDescent="0.2">
      <c r="E95" s="73"/>
    </row>
    <row r="96" spans="1:9" ht="11.45" customHeight="1" x14ac:dyDescent="0.2">
      <c r="B96" s="62" t="s">
        <v>280</v>
      </c>
      <c r="E96" s="73"/>
    </row>
    <row r="97" spans="2:5" ht="11.45" customHeight="1" x14ac:dyDescent="0.2">
      <c r="B97" s="62" t="s">
        <v>117</v>
      </c>
      <c r="E97" s="73"/>
    </row>
    <row r="98" spans="2:5" ht="11.45" customHeight="1" x14ac:dyDescent="0.2">
      <c r="E98" s="73"/>
    </row>
    <row r="99" spans="2:5" ht="11.45" customHeight="1" x14ac:dyDescent="0.2">
      <c r="B99" s="75" t="s">
        <v>266</v>
      </c>
    </row>
    <row r="100" spans="2:5" ht="11.45" customHeight="1" x14ac:dyDescent="0.2">
      <c r="B100" s="77" t="s">
        <v>113</v>
      </c>
      <c r="D100" s="78"/>
    </row>
    <row r="101" spans="2:5" ht="11.45" customHeight="1" x14ac:dyDescent="0.2">
      <c r="B101" s="77" t="s">
        <v>114</v>
      </c>
      <c r="D101" s="78"/>
    </row>
    <row r="102" spans="2:5" ht="11.45" customHeight="1" x14ac:dyDescent="0.2">
      <c r="B102" s="77" t="s">
        <v>115</v>
      </c>
      <c r="D102" s="78"/>
    </row>
    <row r="103" spans="2:5" ht="11.45" customHeight="1" x14ac:dyDescent="0.2">
      <c r="B103" s="77" t="s">
        <v>38</v>
      </c>
      <c r="D103" s="78"/>
    </row>
  </sheetData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7"/>
  <dimension ref="A1:C107"/>
  <sheetViews>
    <sheetView topLeftCell="A74" zoomScaleNormal="100" workbookViewId="0">
      <selection activeCell="F17" sqref="F17"/>
    </sheetView>
  </sheetViews>
  <sheetFormatPr defaultColWidth="9.140625" defaultRowHeight="12" x14ac:dyDescent="0.2"/>
  <cols>
    <col min="1" max="1" width="9.5703125" style="17" bestFit="1" customWidth="1"/>
    <col min="2" max="2" width="27.85546875" style="16" bestFit="1" customWidth="1"/>
    <col min="3" max="3" width="40.7109375" style="12" customWidth="1"/>
    <col min="4" max="16384" width="9.140625" style="16"/>
  </cols>
  <sheetData>
    <row r="1" spans="1:3" ht="12" customHeight="1" x14ac:dyDescent="0.2">
      <c r="A1" s="15"/>
    </row>
    <row r="2" spans="1:3" ht="12" customHeight="1" x14ac:dyDescent="0.2">
      <c r="A2" s="15"/>
      <c r="C2" s="15" t="s">
        <v>435</v>
      </c>
    </row>
    <row r="3" spans="1:3" ht="12" customHeight="1" x14ac:dyDescent="0.2">
      <c r="A3" s="15"/>
      <c r="C3" s="15" t="s">
        <v>432</v>
      </c>
    </row>
    <row r="4" spans="1:3" ht="12" customHeight="1" x14ac:dyDescent="0.2">
      <c r="A4" s="15"/>
    </row>
    <row r="5" spans="1:3" ht="12" customHeight="1" x14ac:dyDescent="0.2">
      <c r="A5" s="15"/>
      <c r="C5" s="2"/>
    </row>
    <row r="6" spans="1:3" ht="12" customHeight="1" x14ac:dyDescent="0.2">
      <c r="A6" s="15"/>
      <c r="B6" s="7">
        <f ca="1">NOW()</f>
        <v>44284.697198379632</v>
      </c>
      <c r="C6" s="2" t="s">
        <v>434</v>
      </c>
    </row>
    <row r="7" spans="1:3" ht="12" customHeight="1" x14ac:dyDescent="0.2">
      <c r="A7" s="15"/>
      <c r="B7" s="7"/>
      <c r="C7" s="17"/>
    </row>
    <row r="8" spans="1:3" s="6" customFormat="1" ht="12.75" thickBot="1" x14ac:dyDescent="0.25">
      <c r="A8" s="8" t="s">
        <v>0</v>
      </c>
      <c r="B8" s="8" t="s">
        <v>1</v>
      </c>
      <c r="C8" s="8" t="s">
        <v>4</v>
      </c>
    </row>
    <row r="9" spans="1:3" x14ac:dyDescent="0.2">
      <c r="A9" s="199" t="str">
        <f>stat_uppg!A9</f>
        <v>2588/33088</v>
      </c>
      <c r="B9" s="199" t="str">
        <f>stat_uppg!B9</f>
        <v>Haparanda (SMHI) nedlagd</v>
      </c>
      <c r="C9" s="213" t="str">
        <f>"MSL="&amp;TEXT(stat_uppg!L9,"0.0")&amp;"-("&amp;TEXT(stat_uppg!M9,"0.00")&amp;")*(yyyy-"&amp;TEXT(2000,"0")&amp;")"</f>
        <v>MSL=2.1-(0.01)*(yyyy-2000)</v>
      </c>
    </row>
    <row r="10" spans="1:3" x14ac:dyDescent="0.2">
      <c r="A10" s="199" t="str">
        <f>stat_uppg!A10</f>
        <v>59/35103</v>
      </c>
      <c r="B10" s="199" t="str">
        <f>stat_uppg!B10</f>
        <v>KALIX KARLSBORG (SJÖV)</v>
      </c>
      <c r="C10" s="213" t="str">
        <f>"MSL="&amp;TEXT(stat_uppg!L10,"0.0")&amp;"-("&amp;TEXT(stat_uppg!M10,"0.00")&amp;")*(yyyy-"&amp;TEXT(2000,"0")&amp;")"</f>
        <v>MSL=2.1-(0.01)*(yyyy-2000)</v>
      </c>
    </row>
    <row r="11" spans="1:3" x14ac:dyDescent="0.2">
      <c r="A11" s="199" t="str">
        <f>stat_uppg!A11</f>
        <v>2157/33051</v>
      </c>
      <c r="B11" s="199" t="str">
        <f>stat_uppg!B11</f>
        <v>KALIX STORÖN (SMHI)</v>
      </c>
      <c r="C11" s="213" t="str">
        <f>"MSL="&amp;TEXT(stat_uppg!L11,"0.0")&amp;"-("&amp;TEXT(stat_uppg!M11,"0.00")&amp;")*(yyyy-"&amp;TEXT(2000,"0")&amp;")"</f>
        <v>MSL=2.1-(0.01)*(yyyy-2000)</v>
      </c>
    </row>
    <row r="12" spans="1:3" x14ac:dyDescent="0.2">
      <c r="A12" s="199" t="str">
        <f>stat_uppg!A12</f>
        <v>115/35183</v>
      </c>
      <c r="B12" s="199" t="str">
        <f>stat_uppg!B12</f>
        <v>STRÖMÖREN (SJÖV)</v>
      </c>
      <c r="C12" s="213" t="str">
        <f>"MSL="&amp;TEXT(stat_uppg!L12,"0.0")&amp;"-("&amp;TEXT(stat_uppg!M12,"0.00")&amp;")*(yyyy-"&amp;TEXT(2000,"0")&amp;")"</f>
        <v>MSL=2.0-(0.01)*(yyyy-2000)</v>
      </c>
    </row>
    <row r="13" spans="1:3" x14ac:dyDescent="0.2">
      <c r="A13" s="199" t="str">
        <f>stat_uppg!A13</f>
        <v>2055/33052</v>
      </c>
      <c r="B13" s="199" t="str">
        <f>stat_uppg!B13</f>
        <v>FURUÖGRUND (SMHI)</v>
      </c>
      <c r="C13" s="213" t="str">
        <f>"MSL="&amp;TEXT(stat_uppg!L13,"0.0")&amp;"-("&amp;TEXT(stat_uppg!M13,"0.00")&amp;")*(yyyy-"&amp;TEXT(2000,"0")&amp;")"</f>
        <v>MSL=1.8-(0.01)*(yyyy-2000)</v>
      </c>
    </row>
    <row r="14" spans="1:3" x14ac:dyDescent="0.2">
      <c r="A14" s="199" t="str">
        <f>stat_uppg!A14</f>
        <v>40/35240</v>
      </c>
      <c r="B14" s="199" t="str">
        <f>stat_uppg!B14</f>
        <v>GÅSÖREN (SJÖV)</v>
      </c>
      <c r="C14" s="213" t="str">
        <f>"MSL="&amp;TEXT(stat_uppg!L14,"0.0")&amp;"-("&amp;TEXT(stat_uppg!M14,"0.00")&amp;")*(yyyy-"&amp;TEXT(2000,"0")&amp;")"</f>
        <v>MSL=1.8-(0.01)*(yyyy-2000)</v>
      </c>
    </row>
    <row r="15" spans="1:3" x14ac:dyDescent="0.2">
      <c r="A15" s="199" t="str">
        <f>stat_uppg!A15</f>
        <v>2056/33053</v>
      </c>
      <c r="B15" s="199" t="str">
        <f>stat_uppg!B15</f>
        <v>RATAN (SMHI)</v>
      </c>
      <c r="C15" s="213" t="str">
        <f>"MSL="&amp;TEXT(stat_uppg!L15,"0.0")&amp;"-("&amp;TEXT(stat_uppg!M15,"0.00")&amp;")*(yyyy-"&amp;TEXT(2000,"0")&amp;")"</f>
        <v>MSL=1.9-(0.01)*(yyyy-2000)</v>
      </c>
    </row>
    <row r="16" spans="1:3" x14ac:dyDescent="0.2">
      <c r="A16" s="199" t="str">
        <f>stat_uppg!A16</f>
        <v>57/35124</v>
      </c>
      <c r="B16" s="199" t="str">
        <f>stat_uppg!B16</f>
        <v>HOLMSUND (SJÖV)</v>
      </c>
      <c r="C16" s="213" t="str">
        <f>"MSL="&amp;TEXT(stat_uppg!L16,"0.0")&amp;"-("&amp;TEXT(stat_uppg!M16,"0.00")&amp;")*(yyyy-"&amp;TEXT(2000,"0")&amp;")"</f>
        <v>MSL=1.8-(0.01)*(yyyy-2000)</v>
      </c>
    </row>
    <row r="17" spans="1:3" x14ac:dyDescent="0.2">
      <c r="A17" s="199" t="str">
        <f>stat_uppg!A17</f>
        <v>2321/33054</v>
      </c>
      <c r="B17" s="199" t="str">
        <f>stat_uppg!B17</f>
        <v>Skagsudde (SMHI) nedlagd</v>
      </c>
      <c r="C17" s="213" t="str">
        <f>"MSL="&amp;TEXT(stat_uppg!L17,"0.0")&amp;"-("&amp;TEXT(stat_uppg!M17,"0.00")&amp;")*(yyyy-"&amp;TEXT(2000,"0")&amp;")"</f>
        <v>MSL=1.6-(0.01)*(yyyy-2000)</v>
      </c>
    </row>
    <row r="18" spans="1:3" x14ac:dyDescent="0.2">
      <c r="A18" s="199" t="str">
        <f>stat_uppg!A18</f>
        <v>110/35138</v>
      </c>
      <c r="B18" s="199" t="str">
        <f>stat_uppg!B18</f>
        <v>SKAGSUDDE2 (SJÖV)</v>
      </c>
      <c r="C18" s="213" t="str">
        <f>"MSL="&amp;TEXT(stat_uppg!L18,"0.0")&amp;"-("&amp;TEXT(stat_uppg!M18,"0.00")&amp;")*(yyyy-"&amp;TEXT(2000,"0")&amp;")"</f>
        <v>MSL=1.6-(0.01)*(yyyy-2000)</v>
      </c>
    </row>
    <row r="19" spans="1:3" x14ac:dyDescent="0.2">
      <c r="A19" s="199" t="str">
        <f>stat_uppg!A19</f>
        <v>172/35209</v>
      </c>
      <c r="B19" s="199" t="str">
        <f>stat_uppg!B19</f>
        <v>LUNDE (SJÖV)</v>
      </c>
      <c r="C19" s="213" t="str">
        <f>"MSL="&amp;TEXT(stat_uppg!L19,"0.0")&amp;"-("&amp;TEXT(stat_uppg!M19,"0.00")&amp;")*(yyyy-"&amp;TEXT(2000,"0")&amp;")"</f>
        <v>MSL=1.6-(0.01)*(yyyy-2000)</v>
      </c>
    </row>
    <row r="20" spans="1:3" x14ac:dyDescent="0.2">
      <c r="A20" s="199" t="str">
        <f>stat_uppg!A20</f>
        <v>2062/33074</v>
      </c>
      <c r="B20" s="199" t="str">
        <f>stat_uppg!B20</f>
        <v>Draghällan (SMHI) nedlagd</v>
      </c>
      <c r="C20" s="213" t="str">
        <f>"MSL="&amp;TEXT(stat_uppg!L20,"0.0")&amp;"-("&amp;TEXT(stat_uppg!M20,"0.00")&amp;")*(yyyy-"&amp;TEXT(2000,"0")&amp;")"</f>
        <v>MSL=1.6-(0.01)*(yyyy-2000)</v>
      </c>
    </row>
    <row r="21" spans="1:3" x14ac:dyDescent="0.2">
      <c r="A21" s="199" t="str">
        <f>stat_uppg!A21</f>
        <v>2061/33055</v>
      </c>
      <c r="B21" s="199" t="str">
        <f>stat_uppg!B21</f>
        <v>SPIKARNA (SMHI)</v>
      </c>
      <c r="C21" s="213" t="str">
        <f>"MSL="&amp;TEXT(stat_uppg!L21,"0.0")&amp;"-("&amp;TEXT(stat_uppg!M21,"0.00")&amp;")*(yyyy-"&amp;TEXT(2000,"0")&amp;")"</f>
        <v>MSL=1.6-(0.01)*(yyyy-2000)</v>
      </c>
    </row>
    <row r="22" spans="1:3" x14ac:dyDescent="0.2">
      <c r="A22" s="199" t="str">
        <f>stat_uppg!A22</f>
        <v>66/35127</v>
      </c>
      <c r="B22" s="199" t="str">
        <f>stat_uppg!B22</f>
        <v>LJUSNE ORRSKÄRSKAJEN (SJÖV)</v>
      </c>
      <c r="C22" s="213" t="str">
        <f>"MSL="&amp;TEXT(stat_uppg!L22,"0.0")&amp;"-("&amp;TEXT(stat_uppg!M22,"0.00")&amp;")*(yyyy-"&amp;TEXT(2000,"0")&amp;")"</f>
        <v>MSL=1.7-(0.01)*(yyyy-2000)</v>
      </c>
    </row>
    <row r="23" spans="1:3" x14ac:dyDescent="0.2">
      <c r="A23" s="199" t="str">
        <f>stat_uppg!A23</f>
        <v>33/35119</v>
      </c>
      <c r="B23" s="199" t="str">
        <f>stat_uppg!B23</f>
        <v>BÖNAN (SJÖV)</v>
      </c>
      <c r="C23" s="213" t="str">
        <f>"MSL="&amp;TEXT(stat_uppg!L23,"0.0")&amp;"-("&amp;TEXT(stat_uppg!M23,"0.00")&amp;")*(yyyy-"&amp;TEXT(2000,"0")&amp;")"</f>
        <v>MSL=1.7-(0.01)*(yyyy-2000)</v>
      </c>
    </row>
    <row r="24" spans="1:3" x14ac:dyDescent="0.2">
      <c r="A24" s="199" t="str">
        <f>stat_uppg!A24</f>
        <v>2067/33075</v>
      </c>
      <c r="B24" s="199" t="str">
        <f>stat_uppg!B24</f>
        <v>Björn (SMHI) nedlagd</v>
      </c>
      <c r="C24" s="213" t="str">
        <f>"MSL="&amp;TEXT(stat_uppg!L24,"0.0")&amp;"-("&amp;TEXT(stat_uppg!M24,"0.00")&amp;")*(yyyy-"&amp;TEXT(2000,"0")&amp;")"</f>
        <v>MSL=1.7-(0.01)*(yyyy-2000)</v>
      </c>
    </row>
    <row r="25" spans="1:3" x14ac:dyDescent="0.2">
      <c r="A25" s="199" t="str">
        <f>stat_uppg!A25</f>
        <v>2179/33056</v>
      </c>
      <c r="B25" s="199" t="str">
        <f>stat_uppg!B25</f>
        <v>FORSMARK (SMHI)</v>
      </c>
      <c r="C25" s="213" t="str">
        <f>"MSL="&amp;TEXT(stat_uppg!L25,"0.0")&amp;"-("&amp;TEXT(stat_uppg!M25,"0.00")&amp;")*(yyyy-"&amp;TEXT(2000,"0")&amp;")"</f>
        <v>MSL=1.7-(0.01)*(yyyy-2000)</v>
      </c>
    </row>
    <row r="26" spans="1:3" x14ac:dyDescent="0.2">
      <c r="A26" s="199" t="str">
        <f>stat_uppg!A26</f>
        <v>?/?</v>
      </c>
      <c r="B26" s="199" t="str">
        <f>stat_uppg!B26</f>
        <v>KAPELLSKÄR (SJÖV) planerad</v>
      </c>
      <c r="C26" s="213" t="str">
        <f>"MSL="&amp;TEXT(stat_uppg!L26,"0.0")&amp;"-("&amp;TEXT(stat_uppg!M26,"0.00")&amp;")*(yyyy-"&amp;TEXT(2000,"0")&amp;")"</f>
        <v>MSL=1.7-(0.00)*(yyyy-2000)</v>
      </c>
    </row>
    <row r="27" spans="1:3" x14ac:dyDescent="0.2">
      <c r="A27" s="199" t="str">
        <f>stat_uppg!A27</f>
        <v>67/35154</v>
      </c>
      <c r="B27" s="199" t="str">
        <f>stat_uppg!B27</f>
        <v>LOUDDEN (SJÖV)</v>
      </c>
      <c r="C27" s="213" t="str">
        <f>"MSL="&amp;TEXT(stat_uppg!L27,"0.0")&amp;"-("&amp;TEXT(stat_uppg!M27,"0.00")&amp;")*(yyyy-"&amp;TEXT(2000,"0")&amp;")"</f>
        <v>MSL=1.6-(0.00)*(yyyy-2000)</v>
      </c>
    </row>
    <row r="28" spans="1:3" x14ac:dyDescent="0.2">
      <c r="A28" s="199" t="str">
        <f>stat_uppg!A28</f>
        <v>2069/33057</v>
      </c>
      <c r="B28" s="199" t="str">
        <f>stat_uppg!B28</f>
        <v>STOCKHOLM (SMHI)</v>
      </c>
      <c r="C28" s="213" t="str">
        <f>"MSL="&amp;TEXT(stat_uppg!L28,"0.0")&amp;"-("&amp;TEXT(stat_uppg!M28,"0.00")&amp;")*(yyyy-"&amp;TEXT(2000,"0")&amp;")"</f>
        <v>MSL=1.7-(0.00)*(yyyy-2000)</v>
      </c>
    </row>
    <row r="29" spans="1:3" x14ac:dyDescent="0.2">
      <c r="A29" s="199" t="str">
        <f>stat_uppg!A29</f>
        <v>173/35112</v>
      </c>
      <c r="B29" s="199" t="str">
        <f>stat_uppg!B29</f>
        <v>NYNÄS FISKEHAMN (SJÖV)</v>
      </c>
      <c r="C29" s="213" t="str">
        <f>"MSL="&amp;TEXT(stat_uppg!L29,"0.0")&amp;"-("&amp;TEXT(stat_uppg!M29,"0.00")&amp;")*(yyyy-"&amp;TEXT(2000,"0")&amp;")"</f>
        <v>MSL=1.5-(0.00)*(yyyy-2000)</v>
      </c>
    </row>
    <row r="30" spans="1:3" x14ac:dyDescent="0.2">
      <c r="A30" s="199" t="str">
        <f>stat_uppg!A30</f>
        <v>2507/33058</v>
      </c>
      <c r="B30" s="199" t="str">
        <f>stat_uppg!B30</f>
        <v>LANDSORT NORRA (SMHI)</v>
      </c>
      <c r="C30" s="213" t="str">
        <f>"MSL="&amp;TEXT(stat_uppg!L30,"0.0")&amp;"-("&amp;TEXT(stat_uppg!M30,"0.00")&amp;")*(yyyy-"&amp;TEXT(2000,"0")&amp;")"</f>
        <v>MSL=1.4-(0.00)*(yyyy-2000)</v>
      </c>
    </row>
    <row r="31" spans="1:3" x14ac:dyDescent="0.2">
      <c r="A31" s="199" t="str">
        <f>stat_uppg!A31</f>
        <v>2073/33076</v>
      </c>
      <c r="B31" s="199" t="str">
        <f>stat_uppg!B31</f>
        <v>Landsort (SMHI) nedlagd</v>
      </c>
      <c r="C31" s="213" t="str">
        <f>"MSL="&amp;TEXT(stat_uppg!L31,"0.0")&amp;"-("&amp;TEXT(stat_uppg!M31,"0.00")&amp;")*(yyyy-"&amp;TEXT(2000,"0")&amp;")"</f>
        <v>MSL=1.4-(0.00)*(yyyy-2000)</v>
      </c>
    </row>
    <row r="32" spans="1:3" x14ac:dyDescent="0.2">
      <c r="A32" s="199" t="str">
        <f>stat_uppg!A32</f>
        <v>34/35185</v>
      </c>
      <c r="B32" s="199" t="str">
        <f>stat_uppg!B32</f>
        <v>E4 BRON SÖDERTÄLJE (SJÖV)</v>
      </c>
      <c r="C32" s="213" t="str">
        <f>"MSL="&amp;TEXT(stat_uppg!L32,"0.0")&amp;"-("&amp;TEXT(stat_uppg!M32,"0.00")&amp;")*(yyyy-"&amp;TEXT(2000,"0")&amp;")"</f>
        <v>MSL=1.5-(0.00)*(yyyy-2000)</v>
      </c>
    </row>
    <row r="33" spans="1:3" x14ac:dyDescent="0.2">
      <c r="A33" s="199" t="str">
        <f>stat_uppg!A33</f>
        <v>10/35118</v>
      </c>
      <c r="B33" s="199" t="str">
        <f>stat_uppg!B33</f>
        <v>OXELÖSUND VINTERKLASEN (SJÖV)</v>
      </c>
      <c r="C33" s="213" t="str">
        <f>"MSL="&amp;TEXT(stat_uppg!L33,"0.0")&amp;"-("&amp;TEXT(stat_uppg!M33,"0.00")&amp;")*(yyyy-"&amp;TEXT(2000,"0")&amp;")"</f>
        <v>MSL=1.5-(0.00)*(yyyy-2000)</v>
      </c>
    </row>
    <row r="34" spans="1:3" x14ac:dyDescent="0.2">
      <c r="A34" s="199" t="str">
        <f>stat_uppg!A34</f>
        <v>58/35101</v>
      </c>
      <c r="B34" s="199" t="str">
        <f>stat_uppg!B34</f>
        <v>JUTEN (SJÖV)</v>
      </c>
      <c r="C34" s="213" t="str">
        <f>"MSL="&amp;TEXT(stat_uppg!L34,"0.0")&amp;"-("&amp;TEXT(stat_uppg!M34,"0.00")&amp;")*(yyyy-"&amp;TEXT(2000,"0")&amp;")"</f>
        <v>MSL=1.5-(0.00)*(yyyy-2000)</v>
      </c>
    </row>
    <row r="35" spans="1:3" x14ac:dyDescent="0.2">
      <c r="A35" s="199" t="str">
        <f>stat_uppg!A35</f>
        <v>2076/33059</v>
      </c>
      <c r="B35" s="199" t="str">
        <f>stat_uppg!B35</f>
        <v>Marviken (SMHI) nedlagd</v>
      </c>
      <c r="C35" s="213" t="str">
        <f>"MSL="&amp;TEXT(stat_uppg!L35,"0.0")&amp;"-("&amp;TEXT(stat_uppg!M35,"0.00")&amp;")*(yyyy-"&amp;TEXT(2000,"0")&amp;")"</f>
        <v>MSL=1.5-(0.00)*(yyyy-2000)</v>
      </c>
    </row>
    <row r="36" spans="1:3" x14ac:dyDescent="0.2">
      <c r="A36" s="199" t="str">
        <f>stat_uppg!A36</f>
        <v>2545/33085</v>
      </c>
      <c r="B36" s="199" t="str">
        <f>stat_uppg!B36</f>
        <v>ARKÖ (SMHI)</v>
      </c>
      <c r="C36" s="213" t="str">
        <f>"MSL="&amp;TEXT(stat_uppg!L36,"0.0")&amp;"-("&amp;TEXT(stat_uppg!M36,"0.00")&amp;")*(yyyy-"&amp;TEXT(2000,"0")&amp;")"</f>
        <v>MSL=1.5-(0.00)*(yyyy-2000)</v>
      </c>
    </row>
    <row r="37" spans="1:3" x14ac:dyDescent="0.2">
      <c r="A37" s="199" t="str">
        <f>stat_uppg!A37</f>
        <v>93/35151</v>
      </c>
      <c r="B37" s="199" t="str">
        <f>stat_uppg!B37</f>
        <v>VÄSTERVIK (SJÖV)</v>
      </c>
      <c r="C37" s="213" t="str">
        <f>"MSL="&amp;TEXT(stat_uppg!L37,"0.0")&amp;"-("&amp;TEXT(stat_uppg!M37,"0.00")&amp;")*(yyyy-"&amp;TEXT(2000,"0")&amp;")"</f>
        <v>MSL=1.4-(0.00)*(yyyy-2000)</v>
      </c>
    </row>
    <row r="38" spans="1:3" x14ac:dyDescent="0.2">
      <c r="A38" s="199" t="str">
        <f>stat_uppg!A38</f>
        <v>81/35114</v>
      </c>
      <c r="B38" s="199" t="str">
        <f>stat_uppg!B38</f>
        <v>SLITE (SJÖV)</v>
      </c>
      <c r="C38" s="213" t="str">
        <f>"MSL="&amp;TEXT(stat_uppg!L38,"0.0")&amp;"-("&amp;TEXT(stat_uppg!M38,"0.00")&amp;")*(yyyy-"&amp;TEXT(2000,"0")&amp;")"</f>
        <v>MSL=1.2-(0.00)*(yyyy-2000)</v>
      </c>
    </row>
    <row r="39" spans="1:3" x14ac:dyDescent="0.2">
      <c r="A39" s="199" t="str">
        <f>stat_uppg!A39</f>
        <v>2080/33060</v>
      </c>
      <c r="B39" s="199" t="str">
        <f>stat_uppg!B39</f>
        <v>VISBY (SMHI)</v>
      </c>
      <c r="C39" s="213" t="str">
        <f>"MSL="&amp;TEXT(stat_uppg!L39,"0.0")&amp;"-("&amp;TEXT(stat_uppg!M39,"0.00")&amp;")*(yyyy-"&amp;TEXT(2000,"0")&amp;")"</f>
        <v>MSL=1.2-(0.00)*(yyyy-2000)</v>
      </c>
    </row>
    <row r="40" spans="1:3" x14ac:dyDescent="0.2">
      <c r="A40" s="199" t="str">
        <f>stat_uppg!A40</f>
        <v>77/35200</v>
      </c>
      <c r="B40" s="199" t="str">
        <f>stat_uppg!B40</f>
        <v>SIMPEVARP (SKB)</v>
      </c>
      <c r="C40" s="213" t="str">
        <f>"MSL="&amp;TEXT(stat_uppg!L40,"0.0")&amp;"-("&amp;TEXT(stat_uppg!M40,"0.00")&amp;")*(yyyy-"&amp;TEXT(2000,"0")&amp;")"</f>
        <v>MSL=1.4-(0.00)*(yyyy-2000)</v>
      </c>
    </row>
    <row r="41" spans="1:3" x14ac:dyDescent="0.2">
      <c r="A41" s="199" t="str">
        <f>stat_uppg!A41</f>
        <v>2083/33061</v>
      </c>
      <c r="B41" s="199" t="str">
        <f>stat_uppg!B41</f>
        <v>ÖLANDS NORRA UDDE (SMHI)</v>
      </c>
      <c r="C41" s="213" t="str">
        <f>"MSL="&amp;TEXT(stat_uppg!L41,"0.0")&amp;"-("&amp;TEXT(stat_uppg!M41,"0.00")&amp;")*(yyyy-"&amp;TEXT(2000,"0")&amp;")"</f>
        <v>MSL=1.4-(0.00)*(yyyy-2000)</v>
      </c>
    </row>
    <row r="42" spans="1:3" x14ac:dyDescent="0.2">
      <c r="A42" s="199" t="str">
        <f>stat_uppg!A42</f>
        <v>2085/33062</v>
      </c>
      <c r="B42" s="199" t="str">
        <f>stat_uppg!B42</f>
        <v>OSKARSHAMN (SMHI)</v>
      </c>
      <c r="C42" s="213" t="str">
        <f>"MSL="&amp;TEXT(stat_uppg!L42,"0.0")&amp;"-("&amp;TEXT(stat_uppg!M42,"0.00")&amp;")*(yyyy-"&amp;TEXT(2000,"0")&amp;")"</f>
        <v>MSL=1.4-(0.00)*(yyyy-2000)</v>
      </c>
    </row>
    <row r="43" spans="1:3" x14ac:dyDescent="0.2">
      <c r="A43" s="199" t="str">
        <f>stat_uppg!A43</f>
        <v>60/35105</v>
      </c>
      <c r="B43" s="199" t="str">
        <f>stat_uppg!B43</f>
        <v>KALMAR (SJÖV)</v>
      </c>
      <c r="C43" s="213" t="str">
        <f>"MSL="&amp;TEXT(stat_uppg!L43,"0.0")&amp;"-("&amp;TEXT(stat_uppg!M43,"0.00")&amp;")*(yyyy-"&amp;TEXT(2000,"0")&amp;")"</f>
        <v>MSL=1.4-(0.00)*(yyyy-2000)</v>
      </c>
    </row>
    <row r="44" spans="1:3" x14ac:dyDescent="0.2">
      <c r="A44" s="199" t="str">
        <f>stat_uppg!A44</f>
        <v>2088/33063</v>
      </c>
      <c r="B44" s="199" t="str">
        <f>stat_uppg!B44</f>
        <v>KUNGSHOLMSFORT (SMHI)</v>
      </c>
      <c r="C44" s="213" t="str">
        <f>"MSL="&amp;TEXT(stat_uppg!L44,"0.0")&amp;"-("&amp;TEXT(stat_uppg!M44,"0.00")&amp;")*(yyyy-"&amp;TEXT(2000,"0")&amp;")"</f>
        <v>MSL=1.4-(0.00)*(yyyy-2000)</v>
      </c>
    </row>
    <row r="45" spans="1:3" x14ac:dyDescent="0.2">
      <c r="A45" s="199" t="str">
        <f>stat_uppg!A45</f>
        <v>61/35131</v>
      </c>
      <c r="B45" s="199" t="str">
        <f>stat_uppg!B45</f>
        <v>KARLSHAMN (SJÖV)</v>
      </c>
      <c r="C45" s="213" t="str">
        <f>"MSL="&amp;TEXT(stat_uppg!L45,"0.0")&amp;"-("&amp;TEXT(stat_uppg!M45,"0.00")&amp;")*(yyyy-"&amp;TEXT(2000,"0")&amp;")"</f>
        <v>MSL=1.4-(0.00)*(yyyy-2000)</v>
      </c>
    </row>
    <row r="46" spans="1:3" x14ac:dyDescent="0.2">
      <c r="A46" s="199" t="str">
        <f>stat_uppg!A46</f>
        <v>2543/33083</v>
      </c>
      <c r="B46" s="199" t="str">
        <f>stat_uppg!B46</f>
        <v>Åhus (SMHI) nedlagd</v>
      </c>
      <c r="C46" s="213" t="str">
        <f>"MSL="&amp;TEXT(stat_uppg!L46,"0.0")&amp;"-("&amp;TEXT(stat_uppg!M46,"0.00")&amp;")*(yyyy-"&amp;TEXT(2000,"0")&amp;")"</f>
        <v>MSL=1.4-(0.00)*(yyyy-2000)</v>
      </c>
    </row>
    <row r="47" spans="1:3" x14ac:dyDescent="0.2">
      <c r="A47" s="199" t="str">
        <f>stat_uppg!A47</f>
        <v>2320/33064</v>
      </c>
      <c r="B47" s="199" t="str">
        <f>stat_uppg!B47</f>
        <v>SIMRISHAMN (SMHI)</v>
      </c>
      <c r="C47" s="213" t="str">
        <f>"MSL="&amp;TEXT(stat_uppg!L47,"0.0")&amp;"-("&amp;TEXT(stat_uppg!M47,"0.00")&amp;")*(yyyy-"&amp;TEXT(2000,"0")&amp;")"</f>
        <v>MSL=1.4-(0.00)*(yyyy-2000)</v>
      </c>
    </row>
    <row r="48" spans="1:3" x14ac:dyDescent="0.2">
      <c r="A48" s="199" t="str">
        <f>stat_uppg!A48</f>
        <v>2093/33078</v>
      </c>
      <c r="B48" s="199" t="str">
        <f>stat_uppg!B48</f>
        <v>Ystad (SMHI) nedlagd</v>
      </c>
      <c r="C48" s="213" t="str">
        <f>"MSL="&amp;TEXT(stat_uppg!L48,"0.0")&amp;"-("&amp;TEXT(stat_uppg!M48,"0.00")&amp;")*(yyyy-"&amp;TEXT(2000,"0")&amp;")"</f>
        <v>MSL=1.4-(0.00)*(yyyy-2000)</v>
      </c>
    </row>
    <row r="49" spans="1:3" x14ac:dyDescent="0.2">
      <c r="A49" s="199" t="str">
        <f>stat_uppg!A49</f>
        <v>94/35159</v>
      </c>
      <c r="B49" s="199" t="str">
        <f>stat_uppg!B49</f>
        <v>YSTAD2 (SJÖV)</v>
      </c>
      <c r="C49" s="213" t="str">
        <f>"MSL="&amp;TEXT(stat_uppg!L49,"0.0")&amp;"-("&amp;TEXT(stat_uppg!M49,"0.00")&amp;")*(yyyy-"&amp;TEXT(2000,"0")&amp;")"</f>
        <v>MSL=1.4-(0.00)*(yyyy-2000)</v>
      </c>
    </row>
    <row r="50" spans="1:3" x14ac:dyDescent="0.2">
      <c r="A50" s="199"/>
      <c r="B50" s="199"/>
      <c r="C50" s="200"/>
    </row>
    <row r="51" spans="1:3" x14ac:dyDescent="0.2">
      <c r="A51" s="199"/>
      <c r="B51" s="16" t="s">
        <v>433</v>
      </c>
      <c r="C51" s="200"/>
    </row>
    <row r="52" spans="1:3" x14ac:dyDescent="0.2">
      <c r="A52" s="199"/>
      <c r="B52" s="199"/>
      <c r="C52" s="200"/>
    </row>
    <row r="53" spans="1:3" x14ac:dyDescent="0.2">
      <c r="A53" s="199"/>
      <c r="B53" s="199"/>
      <c r="C53" s="200"/>
    </row>
    <row r="54" spans="1:3" x14ac:dyDescent="0.2">
      <c r="A54" s="199"/>
      <c r="B54" s="199"/>
      <c r="C54" s="200"/>
    </row>
    <row r="55" spans="1:3" x14ac:dyDescent="0.2">
      <c r="A55" s="199"/>
      <c r="B55" s="199"/>
      <c r="C55" s="200"/>
    </row>
    <row r="56" spans="1:3" x14ac:dyDescent="0.2">
      <c r="A56" s="199"/>
      <c r="B56" s="199"/>
      <c r="C56" s="200"/>
    </row>
    <row r="57" spans="1:3" x14ac:dyDescent="0.2">
      <c r="A57" s="199"/>
      <c r="B57" s="199"/>
      <c r="C57" s="200"/>
    </row>
    <row r="58" spans="1:3" x14ac:dyDescent="0.2">
      <c r="A58" s="199"/>
      <c r="B58" s="199"/>
      <c r="C58" s="200"/>
    </row>
    <row r="59" spans="1:3" x14ac:dyDescent="0.2">
      <c r="A59" s="199"/>
      <c r="B59" s="199"/>
      <c r="C59" s="200"/>
    </row>
    <row r="60" spans="1:3" x14ac:dyDescent="0.2">
      <c r="A60" s="199"/>
      <c r="B60" s="199"/>
      <c r="C60" s="200"/>
    </row>
    <row r="61" spans="1:3" x14ac:dyDescent="0.2">
      <c r="A61" s="199"/>
      <c r="B61" s="199"/>
      <c r="C61" s="200"/>
    </row>
    <row r="62" spans="1:3" x14ac:dyDescent="0.2">
      <c r="A62" s="199"/>
      <c r="B62" s="199"/>
      <c r="C62" s="200"/>
    </row>
    <row r="63" spans="1:3" x14ac:dyDescent="0.2">
      <c r="A63" s="15"/>
    </row>
    <row r="64" spans="1:3" x14ac:dyDescent="0.2">
      <c r="A64" s="15"/>
      <c r="C64" s="15" t="s">
        <v>89</v>
      </c>
    </row>
    <row r="65" spans="1:3" x14ac:dyDescent="0.2">
      <c r="A65" s="15"/>
      <c r="C65" s="4" t="s">
        <v>431</v>
      </c>
    </row>
    <row r="66" spans="1:3" x14ac:dyDescent="0.2">
      <c r="A66" s="15"/>
      <c r="C66" s="15" t="s">
        <v>432</v>
      </c>
    </row>
    <row r="67" spans="1:3" x14ac:dyDescent="0.2">
      <c r="A67" s="15"/>
      <c r="C67" s="2"/>
    </row>
    <row r="68" spans="1:3" x14ac:dyDescent="0.2">
      <c r="A68" s="15"/>
      <c r="B68" s="7">
        <f ca="1">NOW()</f>
        <v>44284.697198379632</v>
      </c>
      <c r="C68" s="2" t="s">
        <v>434</v>
      </c>
    </row>
    <row r="69" spans="1:3" x14ac:dyDescent="0.2">
      <c r="A69" s="199"/>
      <c r="C69" s="200"/>
    </row>
    <row r="70" spans="1:3" s="6" customFormat="1" ht="12.75" thickBot="1" x14ac:dyDescent="0.25">
      <c r="A70" s="8" t="s">
        <v>0</v>
      </c>
      <c r="B70" s="8" t="s">
        <v>1</v>
      </c>
      <c r="C70" s="8" t="s">
        <v>4</v>
      </c>
    </row>
    <row r="71" spans="1:3" x14ac:dyDescent="0.2">
      <c r="A71" s="199" t="str">
        <f>stat_uppg!A50</f>
        <v>30488/33065</v>
      </c>
      <c r="B71" s="199" t="str">
        <f>stat_uppg!B50</f>
        <v>SKANÖR (SMHI)</v>
      </c>
      <c r="C71" s="200" t="str">
        <f>"MSL="&amp;TEXT(stat_uppg!L50,"0.0")&amp;"-("&amp;TEXT(stat_uppg!M50,"0.00")&amp;")*(yyyy-"&amp;TEXT(2000,"0")&amp;")"</f>
        <v>MSL=1.4-(0.00)*(yyyy-2000)</v>
      </c>
    </row>
    <row r="72" spans="1:3" x14ac:dyDescent="0.2">
      <c r="A72" s="199" t="str">
        <f>stat_uppg!A51</f>
        <v>2095/33066</v>
      </c>
      <c r="B72" s="199" t="str">
        <f>stat_uppg!B51</f>
        <v>KLAGSHAMN (SMHI)</v>
      </c>
      <c r="C72" s="200" t="str">
        <f>"MSL="&amp;TEXT(stat_uppg!L51,"0.0")&amp;"-("&amp;TEXT(stat_uppg!M51,"0.00")&amp;")*(yyyy-"&amp;TEXT(2000,"0")&amp;")"</f>
        <v>MSL=1.2-(0.00)*(yyyy-2000)</v>
      </c>
    </row>
    <row r="73" spans="1:3" x14ac:dyDescent="0.2">
      <c r="A73" s="199" t="str">
        <f>stat_uppg!A52</f>
        <v>91/35136</v>
      </c>
      <c r="B73" s="199" t="str">
        <f>stat_uppg!B52</f>
        <v>FLINTEN 16 (SJÖV)</v>
      </c>
      <c r="C73" s="200" t="str">
        <f>"MSL="&amp;TEXT(stat_uppg!L52,"0.0")&amp;"-("&amp;TEXT(stat_uppg!M52,"0.00")&amp;")*(yyyy-"&amp;TEXT(2000,"0")&amp;")"</f>
        <v>MSL=1.2-(0.00)*(yyyy-2000)</v>
      </c>
    </row>
    <row r="74" spans="1:3" x14ac:dyDescent="0.2">
      <c r="A74" s="199" t="str">
        <f>stat_uppg!A53</f>
        <v>86/35137</v>
      </c>
      <c r="B74" s="199" t="str">
        <f>stat_uppg!B53</f>
        <v>FLINTEN 7 (SJÖV)</v>
      </c>
      <c r="C74" s="200" t="str">
        <f>"MSL="&amp;TEXT(stat_uppg!L53,"0.0")&amp;"-("&amp;TEXT(stat_uppg!M53,"0.00")&amp;")*(yyyy-"&amp;TEXT(2000,"0")&amp;")"</f>
        <v>MSL=1.2-(0.00)*(yyyy-2000)</v>
      </c>
    </row>
    <row r="75" spans="1:3" x14ac:dyDescent="0.2">
      <c r="A75" s="199" t="str">
        <f>stat_uppg!A54</f>
        <v>68/35152</v>
      </c>
      <c r="B75" s="199" t="str">
        <f>stat_uppg!B54</f>
        <v>MALMÖ HAMN (SJÖV)</v>
      </c>
      <c r="C75" s="200" t="str">
        <f>"MSL="&amp;TEXT(stat_uppg!L54,"0.0")&amp;"-("&amp;TEXT(stat_uppg!M54,"0.00")&amp;")*(yyyy-"&amp;TEXT(2000,"0")&amp;")"</f>
        <v>MSL=1.1-(0.00)*(yyyy-2000)</v>
      </c>
    </row>
    <row r="76" spans="1:3" x14ac:dyDescent="0.2">
      <c r="A76" s="199" t="str">
        <f>stat_uppg!A55</f>
        <v>2098/33077</v>
      </c>
      <c r="B76" s="199" t="str">
        <f>stat_uppg!B55</f>
        <v>Malmö (SMHI) nedlagd</v>
      </c>
      <c r="C76" s="200" t="str">
        <f>"MSL="&amp;TEXT(stat_uppg!L55,"0.0")&amp;"-("&amp;TEXT(stat_uppg!M55,"0.00")&amp;")*(yyyy-"&amp;TEXT(2000,"0")&amp;")"</f>
        <v>MSL=1.1-(0.00)*(yyyy-2000)</v>
      </c>
    </row>
    <row r="77" spans="1:3" x14ac:dyDescent="0.2">
      <c r="A77" s="199" t="str">
        <f>stat_uppg!A56</f>
        <v>2099/33067</v>
      </c>
      <c r="B77" s="199" t="str">
        <f>stat_uppg!B56</f>
        <v>BARSEBÄCK (SMHI)</v>
      </c>
      <c r="C77" s="200" t="str">
        <f>"MSL="&amp;TEXT(stat_uppg!L56,"0.0")&amp;"-("&amp;TEXT(stat_uppg!M56,"0.00")&amp;")*(yyyy-"&amp;TEXT(2000,"0")&amp;")"</f>
        <v>MSL=1.1-(0.00)*(yyyy-2000)</v>
      </c>
    </row>
    <row r="78" spans="1:3" x14ac:dyDescent="0.2">
      <c r="A78" s="199" t="str">
        <f>stat_uppg!A57</f>
        <v>45/35110</v>
      </c>
      <c r="B78" s="199" t="str">
        <f>stat_uppg!B57</f>
        <v>HELSINGBORG (SJÖV)</v>
      </c>
      <c r="C78" s="200" t="str">
        <f>"MSL="&amp;TEXT(stat_uppg!L57,"0.0")&amp;"-("&amp;TEXT(stat_uppg!M57,"0.00")&amp;")*(yyyy-"&amp;TEXT(2000,"0")&amp;")"</f>
        <v>MSL=0.7-(0.00)*(yyyy-2000)</v>
      </c>
    </row>
    <row r="79" spans="1:3" x14ac:dyDescent="0.2">
      <c r="A79" s="199" t="str">
        <f>stat_uppg!A58</f>
        <v>2228/33068</v>
      </c>
      <c r="B79" s="199" t="str">
        <f>stat_uppg!B58</f>
        <v>VIKEN (SMHI)</v>
      </c>
      <c r="C79" s="200" t="str">
        <f>"MSL="&amp;TEXT(stat_uppg!L58,"0.0")&amp;"-("&amp;TEXT(stat_uppg!M58,"0.00")&amp;")*(yyyy-"&amp;TEXT(2000,"0")&amp;")"</f>
        <v>MSL=0.6-(0.00)*(yyyy-2000)</v>
      </c>
    </row>
    <row r="80" spans="1:3" x14ac:dyDescent="0.2">
      <c r="A80" s="199" t="str">
        <f>stat_uppg!A59</f>
        <v>2542/33082</v>
      </c>
      <c r="B80" s="199" t="str">
        <f>stat_uppg!B59</f>
        <v>Ängelholm (SMHI) nedlagd</v>
      </c>
      <c r="C80" s="200" t="str">
        <f>"MSL="&amp;TEXT(stat_uppg!L59,"0.0")&amp;"-("&amp;TEXT(stat_uppg!M59,"0.00")&amp;")*(yyyy-"&amp;TEXT(2000,"0")&amp;")"</f>
        <v>MSL=0.6-(0.00)*(yyyy-2000)</v>
      </c>
    </row>
    <row r="81" spans="1:3" x14ac:dyDescent="0.2">
      <c r="A81" s="199" t="str">
        <f>stat_uppg!A60</f>
        <v>43/35115</v>
      </c>
      <c r="B81" s="199" t="str">
        <f>stat_uppg!B60</f>
        <v>HALMSTAD (SJÖV)</v>
      </c>
      <c r="C81" s="200" t="str">
        <f>"MSL="&amp;TEXT(stat_uppg!L60,"0.0")&amp;"-("&amp;TEXT(stat_uppg!M60,"0.00")&amp;")*(yyyy-"&amp;TEXT(2000,"0")&amp;")"</f>
        <v>MSL=0.6-(0.00)*(yyyy-2000)</v>
      </c>
    </row>
    <row r="82" spans="1:3" x14ac:dyDescent="0.2">
      <c r="A82" s="199" t="str">
        <f>stat_uppg!A61</f>
        <v>36/35213</v>
      </c>
      <c r="B82" s="199" t="str">
        <f>stat_uppg!B61</f>
        <v>FALKENBERG (SJÖV)</v>
      </c>
      <c r="C82" s="200" t="str">
        <f>"MSL="&amp;TEXT(stat_uppg!L61,"0.0")&amp;"-("&amp;TEXT(stat_uppg!M61,"0.00")&amp;")*(yyyy-"&amp;TEXT(2000,"0")&amp;")"</f>
        <v>MSL=0.6-(0.00)*(yyyy-2000)</v>
      </c>
    </row>
    <row r="83" spans="1:3" x14ac:dyDescent="0.2">
      <c r="A83" s="199" t="str">
        <f>stat_uppg!A62</f>
        <v>2104/33079</v>
      </c>
      <c r="B83" s="199" t="str">
        <f>stat_uppg!B62</f>
        <v>Varberg (SMHI) nedlagd</v>
      </c>
      <c r="C83" s="200" t="str">
        <f>"MSL="&amp;TEXT(stat_uppg!L62,"0.0")&amp;"-("&amp;TEXT(stat_uppg!M62,"0.00")&amp;")*(yyyy-"&amp;TEXT(2000,"0")&amp;")"</f>
        <v>MSL=0.6-(0.00)*(yyyy-2000)</v>
      </c>
    </row>
    <row r="84" spans="1:3" x14ac:dyDescent="0.2">
      <c r="A84" s="199" t="str">
        <f>stat_uppg!A63</f>
        <v>81/35133</v>
      </c>
      <c r="B84" s="199" t="str">
        <f>stat_uppg!B63</f>
        <v>VARBERG2 (SJÖV)</v>
      </c>
      <c r="C84" s="213" t="str">
        <f>"MSL="&amp;TEXT(stat_uppg!L63,"0.0")&amp;"-("&amp;TEXT(stat_uppg!M63,"0.00")&amp;")*(yyyy-"&amp;TEXT(2000,"0")&amp;")"</f>
        <v>MSL=0.6-(0.00)*(yyyy-2000)</v>
      </c>
    </row>
    <row r="85" spans="1:3" x14ac:dyDescent="0.2">
      <c r="A85" s="199" t="str">
        <f>stat_uppg!A64</f>
        <v>2105/33069</v>
      </c>
      <c r="B85" s="199" t="str">
        <f>stat_uppg!B64</f>
        <v>RINGHALS (SMHI)</v>
      </c>
      <c r="C85" s="200" t="str">
        <f>"MSL="&amp;TEXT(stat_uppg!L64,"0.0")&amp;"-("&amp;TEXT(stat_uppg!M64,"0.00")&amp;")*(yyyy-"&amp;TEXT(2000,"0")&amp;")"</f>
        <v>MSL=0.6-(0.00)*(yyyy-2000)</v>
      </c>
    </row>
    <row r="86" spans="1:3" x14ac:dyDescent="0.2">
      <c r="A86" s="199" t="str">
        <f>stat_uppg!A65</f>
        <v>2544/33084</v>
      </c>
      <c r="B86" s="199" t="str">
        <f>stat_uppg!B65</f>
        <v>ONSALA (CTH)</v>
      </c>
      <c r="C86" s="200" t="str">
        <f>"MSL="&amp;TEXT(stat_uppg!L65,"0.0")&amp;"-("&amp;TEXT(stat_uppg!M65,"0.00")&amp;")*(yyyy-"&amp;TEXT(2000,"0")&amp;")"</f>
        <v>MSL=0.6-(0.00)*(yyyy-2000)</v>
      </c>
    </row>
    <row r="87" spans="1:3" x14ac:dyDescent="0.2">
      <c r="A87" s="199" t="str">
        <f>stat_uppg!A66</f>
        <v>114/35144</v>
      </c>
      <c r="B87" s="199" t="str">
        <f>stat_uppg!B66</f>
        <v>VINGA2 (SJÖV)</v>
      </c>
      <c r="C87" s="200" t="str">
        <f>"MSL="&amp;TEXT(stat_uppg!L66,"0.0")&amp;"-("&amp;TEXT(stat_uppg!M66,"0.00")&amp;")*(yyyy-"&amp;TEXT(2000,"0")&amp;")"</f>
        <v>MSL=0.5-(0.00)*(yyyy-2000)</v>
      </c>
    </row>
    <row r="88" spans="1:3" x14ac:dyDescent="0.2">
      <c r="A88" s="199" t="str">
        <f>stat_uppg!A67</f>
        <v>100/35171</v>
      </c>
      <c r="B88" s="199" t="str">
        <f>stat_uppg!B67</f>
        <v>MÅVHOLMSBÅDAN (SJÖV)</v>
      </c>
      <c r="C88" s="200" t="str">
        <f>"MSL="&amp;TEXT(stat_uppg!L67,"0.0")&amp;"-("&amp;TEXT(stat_uppg!M67,"0.00")&amp;")*(yyyy-"&amp;TEXT(2000,"0")&amp;")"</f>
        <v>MSL=0.5-(0.00)*(yyyy-2000)</v>
      </c>
    </row>
    <row r="89" spans="1:3" x14ac:dyDescent="0.2">
      <c r="A89" s="199" t="str">
        <f>stat_uppg!A68</f>
        <v>2109/33070</v>
      </c>
      <c r="B89" s="199" t="str">
        <f>stat_uppg!B68</f>
        <v>GÖTEBORG-TORSHAMNEN (SMHI)</v>
      </c>
      <c r="C89" s="200" t="str">
        <f>"MSL="&amp;TEXT(stat_uppg!L68,"0.0")&amp;"-("&amp;TEXT(stat_uppg!M68,"0.00")&amp;")*(yyyy-"&amp;TEXT(2000,"0")&amp;")"</f>
        <v>MSL=0.6-(0.00)*(yyyy-2000)</v>
      </c>
    </row>
    <row r="90" spans="1:3" x14ac:dyDescent="0.2">
      <c r="A90" s="201">
        <v>35120</v>
      </c>
      <c r="B90" s="199" t="str">
        <f>stat_uppg!B69</f>
        <v>TÅNGUDDEN GBG HAMN (SJÖV)</v>
      </c>
      <c r="C90" s="200" t="str">
        <f>"MSL="&amp;TEXT(stat_uppg!L69,"0.0")&amp;"-("&amp;TEXT(stat_uppg!M69,"0.00")&amp;")*(yyyy-"&amp;TEXT(2000,"0")&amp;")"</f>
        <v>MSL=0.7-(0.00)*(yyyy-2000)</v>
      </c>
    </row>
    <row r="91" spans="1:3" x14ac:dyDescent="0.2">
      <c r="A91" s="199">
        <f>stat_uppg!A70</f>
        <v>33091</v>
      </c>
      <c r="B91" s="199" t="str">
        <f>stat_uppg!B70</f>
        <v>Göteborg-Älvsborgsbron (GBG)</v>
      </c>
      <c r="C91" s="200" t="str">
        <f>"MSL="&amp;TEXT(stat_uppg!L70,"0.0")&amp;"-("&amp;TEXT(stat_uppg!M70,"0.00")&amp;")*(yyyy-"&amp;TEXT(2000,"0")&amp;")"</f>
        <v>MSL=0.8-(0.00)*(yyyy-2000)</v>
      </c>
    </row>
    <row r="92" spans="1:3" x14ac:dyDescent="0.2">
      <c r="A92" s="199" t="str">
        <f>stat_uppg!A71</f>
        <v>2108/33080</v>
      </c>
      <c r="B92" s="199" t="str">
        <f>stat_uppg!B71</f>
        <v>Göteborg-Klippan (SMHI) nedlagd</v>
      </c>
      <c r="C92" s="200" t="str">
        <f>"MSL="&amp;TEXT(stat_uppg!L71,"0.0")&amp;"-("&amp;TEXT(stat_uppg!M71,"0.00")&amp;")*(yyyy-"&amp;TEXT(2000,"0")&amp;")"</f>
        <v>MSL=0.8-(0.00)*(yyyy-2000)</v>
      </c>
    </row>
    <row r="93" spans="1:3" x14ac:dyDescent="0.2">
      <c r="A93" s="199">
        <f>stat_uppg!A72</f>
        <v>33096</v>
      </c>
      <c r="B93" s="199" t="str">
        <f>stat_uppg!B72</f>
        <v>GÖTEBORG-ERIKSBERG (GBG)</v>
      </c>
      <c r="C93" s="200" t="str">
        <f>"MSL="&amp;TEXT(stat_uppg!L72,"0.0")&amp;"-("&amp;TEXT(stat_uppg!M72,"0.00")&amp;")*(yyyy-"&amp;TEXT(2000,"0")&amp;")"</f>
        <v>MSL=0.8-(0.00)*(yyyy-2000)</v>
      </c>
    </row>
    <row r="94" spans="1:3" x14ac:dyDescent="0.2">
      <c r="A94" s="199">
        <f>stat_uppg!A73</f>
        <v>33092</v>
      </c>
      <c r="B94" s="199" t="str">
        <f>stat_uppg!B73</f>
        <v>GÖTEBORG-GÖTAÄLVBRON (GBG)</v>
      </c>
      <c r="C94" s="200" t="str">
        <f>"MSL="&amp;TEXT(stat_uppg!L73,"0.0")&amp;"-("&amp;TEXT(stat_uppg!M73,"0.00")&amp;")*(yyyy-"&amp;TEXT(2000,"0")&amp;")"</f>
        <v>MSL=1.1-(0.00)*(yyyy-2000)</v>
      </c>
    </row>
    <row r="95" spans="1:3" x14ac:dyDescent="0.2">
      <c r="A95" s="199" t="str">
        <f>stat_uppg!A74</f>
        <v>2508/33089</v>
      </c>
      <c r="B95" s="199" t="str">
        <f>stat_uppg!B74</f>
        <v>Göteborg-Ringön (SMHI) nedlagd</v>
      </c>
      <c r="C95" s="200" t="str">
        <f>"MSL="&amp;TEXT(stat_uppg!L74,"0.0")&amp;"-("&amp;TEXT(stat_uppg!M74,"0.00")&amp;")*(yyyy-"&amp;TEXT(2000,"0")&amp;")"</f>
        <v>MSL=1.1-(0.00)*(yyyy-2000)</v>
      </c>
    </row>
    <row r="96" spans="1:3" x14ac:dyDescent="0.2">
      <c r="A96" s="199">
        <f>stat_uppg!A75</f>
        <v>33093</v>
      </c>
      <c r="B96" s="199" t="str">
        <f>stat_uppg!B75</f>
        <v>GÖTEBORG-TINGSTADSTUNNELN (GBG)</v>
      </c>
      <c r="C96" s="200" t="str">
        <f>"MSL="&amp;TEXT(stat_uppg!L75,"0.0")&amp;"-("&amp;TEXT(stat_uppg!M75,"0.00")&amp;")*(yyyy-"&amp;TEXT(2000,"0")&amp;")"</f>
        <v>MSL=1.1-(0.00)*(yyyy-2000)</v>
      </c>
    </row>
    <row r="97" spans="1:3" x14ac:dyDescent="0.2">
      <c r="A97" s="199">
        <f>stat_uppg!A76</f>
        <v>33094</v>
      </c>
      <c r="B97" s="199" t="str">
        <f>stat_uppg!B76</f>
        <v>GÖTEBORG-LÄRJEHOLM (GBG)</v>
      </c>
      <c r="C97" s="200" t="str">
        <f>"MSL="&amp;TEXT(stat_uppg!L76,"0.0")&amp;"-("&amp;TEXT(stat_uppg!M76,"0.00")&amp;")*(yyyy-"&amp;TEXT(2000,"0")&amp;")"</f>
        <v>MSL=1.7-(0.00)*(yyyy-2000)</v>
      </c>
    </row>
    <row r="98" spans="1:3" x14ac:dyDescent="0.2">
      <c r="A98" s="199">
        <f>stat_uppg!A77</f>
        <v>33095</v>
      </c>
      <c r="B98" s="199" t="str">
        <f>stat_uppg!B77</f>
        <v>GÖTEBORG-AGNESBERG (GBG)</v>
      </c>
      <c r="C98" s="200" t="str">
        <f>"MSL="&amp;TEXT(stat_uppg!L77,"0.0")&amp;"-("&amp;TEXT(stat_uppg!M77,"0.00")&amp;")*(yyyy-"&amp;TEXT(2000,"0")&amp;")"</f>
        <v>MSL=1.8-(0.00)*(yyyy-2000)</v>
      </c>
    </row>
    <row r="99" spans="1:3" x14ac:dyDescent="0.2">
      <c r="A99" s="199" t="str">
        <f>stat_uppg!A78</f>
        <v>69/35104</v>
      </c>
      <c r="B99" s="199" t="str">
        <f>stat_uppg!B78</f>
        <v>MARSTRAND (SJÖV)</v>
      </c>
      <c r="C99" s="200" t="str">
        <f>"MSL="&amp;TEXT(stat_uppg!L78,"0.0")&amp;"-("&amp;TEXT(stat_uppg!M78,"0.00")&amp;")*(yyyy-"&amp;TEXT(2000,"0")&amp;")"</f>
        <v>MSL=0.4-(0.00)*(yyyy-2000)</v>
      </c>
    </row>
    <row r="100" spans="1:3" x14ac:dyDescent="0.2">
      <c r="A100" s="199" t="str">
        <f>stat_uppg!A79</f>
        <v>2110/33071</v>
      </c>
      <c r="B100" s="199" t="str">
        <f>stat_uppg!B79</f>
        <v>STENUNGSUND (SMHI)</v>
      </c>
      <c r="C100" s="200" t="str">
        <f>"MSL="&amp;TEXT(stat_uppg!L79,"0.0")&amp;"-("&amp;TEXT(stat_uppg!M79,"0.00")&amp;")*(yyyy-"&amp;TEXT(2000,"0")&amp;")"</f>
        <v>MSL=0.2-(0.00)*(yyyy-2000)</v>
      </c>
    </row>
    <row r="101" spans="1:3" x14ac:dyDescent="0.2">
      <c r="A101" s="199" t="str">
        <f>stat_uppg!A80</f>
        <v>2541/33081</v>
      </c>
      <c r="B101" s="199" t="str">
        <f>stat_uppg!B80</f>
        <v>UDDEVALLA (SMHI)</v>
      </c>
      <c r="C101" s="200" t="str">
        <f>"MSL="&amp;TEXT(stat_uppg!L80,"0.0")&amp;"-("&amp;TEXT(stat_uppg!M80,"0.00")&amp;")*(yyyy-"&amp;TEXT(2000,"0")&amp;")"</f>
        <v>MSL=0.1-(0.00)*(yyyy-2000)</v>
      </c>
    </row>
    <row r="102" spans="1:3" x14ac:dyDescent="0.2">
      <c r="A102" s="199">
        <f>stat_uppg!A81</f>
        <v>33099</v>
      </c>
      <c r="B102" s="199" t="str">
        <f>stat_uppg!B81</f>
        <v>KRISTINEBERG (GU)</v>
      </c>
      <c r="C102" s="200" t="str">
        <f>"MSL="&amp;TEXT(stat_uppg!L81,"0.0")&amp;"-("&amp;TEXT(stat_uppg!M81,"0.00")&amp;")*(yyyy-"&amp;TEXT(2000,"0")&amp;")"</f>
        <v>MSL=0.0-(0.00)*(yyyy-2000)</v>
      </c>
    </row>
    <row r="103" spans="1:3" x14ac:dyDescent="0.2">
      <c r="A103" s="199" t="str">
        <f>stat_uppg!A82</f>
        <v>32/35109</v>
      </c>
      <c r="B103" s="199" t="str">
        <f>stat_uppg!B82</f>
        <v>BROFJORDEN (SJÖV)</v>
      </c>
      <c r="C103" s="200" t="str">
        <f>"MSL="&amp;TEXT(stat_uppg!L82,"0.0")&amp;"-("&amp;TEXT(stat_uppg!M82,"0.00")&amp;")*(yyyy-"&amp;TEXT(2000,"0")&amp;")"</f>
        <v>MSL=-0.1-(0.00)*(yyyy-2000)</v>
      </c>
    </row>
    <row r="104" spans="1:3" x14ac:dyDescent="0.2">
      <c r="A104" s="199" t="str">
        <f>stat_uppg!A83</f>
        <v>2111/33072</v>
      </c>
      <c r="B104" s="199" t="str">
        <f>stat_uppg!B83</f>
        <v>SMÖGEN (SMHI)</v>
      </c>
      <c r="C104" s="200" t="str">
        <f>"MSL="&amp;TEXT(stat_uppg!L83,"0.0")&amp;"-("&amp;TEXT(stat_uppg!M83,"0.00")&amp;")*(yyyy-"&amp;TEXT(2000,"0")&amp;")"</f>
        <v>MSL=-0.1-(0.00)*(yyyy-2000)</v>
      </c>
    </row>
    <row r="105" spans="1:3" x14ac:dyDescent="0.2">
      <c r="A105" s="199" t="str">
        <f>stat_uppg!A84</f>
        <v>2130/33073</v>
      </c>
      <c r="B105" s="199" t="str">
        <f>stat_uppg!B84</f>
        <v>KUNGSVIK (SMHI)</v>
      </c>
      <c r="C105" s="200" t="str">
        <f>"MSL="&amp;TEXT(stat_uppg!L84,"0.0")&amp;"-("&amp;TEXT(stat_uppg!M84,"0.00")&amp;")*(yyyy-"&amp;TEXT(2000,"0")&amp;")"</f>
        <v>MSL=-0.1-(0.00)*(yyyy-2000)</v>
      </c>
    </row>
    <row r="106" spans="1:3" x14ac:dyDescent="0.2">
      <c r="A106" s="199"/>
      <c r="B106" s="199"/>
      <c r="C106" s="202"/>
    </row>
    <row r="107" spans="1:3" x14ac:dyDescent="0.2">
      <c r="B107" s="16" t="s">
        <v>433</v>
      </c>
    </row>
  </sheetData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Blad9"/>
  <dimension ref="A1:AO921"/>
  <sheetViews>
    <sheetView zoomScaleNormal="100" workbookViewId="0">
      <pane xSplit="2" ySplit="9" topLeftCell="C10" activePane="bottomRight" state="frozen"/>
      <selection pane="topRight" activeCell="C1" sqref="C1"/>
      <selection pane="bottomLeft" activeCell="A7" sqref="A7"/>
      <selection pane="bottomRight" activeCell="N17" sqref="N17"/>
    </sheetView>
  </sheetViews>
  <sheetFormatPr defaultColWidth="7.42578125" defaultRowHeight="12" x14ac:dyDescent="0.2"/>
  <cols>
    <col min="1" max="1" width="9.140625" style="3" bestFit="1" customWidth="1"/>
    <col min="2" max="2" width="28.85546875" style="3" customWidth="1"/>
    <col min="3" max="3" width="5.5703125" style="14" customWidth="1"/>
    <col min="4" max="5" width="7.28515625" style="79" bestFit="1" customWidth="1"/>
    <col min="6" max="6" width="5.140625" style="14" bestFit="1" customWidth="1"/>
    <col min="7" max="7" width="3.85546875" style="5" bestFit="1" customWidth="1"/>
    <col min="8" max="8" width="3.42578125" style="14" bestFit="1" customWidth="1"/>
    <col min="9" max="9" width="6" style="11" bestFit="1" customWidth="1"/>
    <col min="10" max="10" width="5.42578125" style="11" bestFit="1" customWidth="1"/>
    <col min="11" max="11" width="6" style="11" bestFit="1" customWidth="1"/>
    <col min="12" max="14" width="6.28515625" style="79" bestFit="1" customWidth="1"/>
    <col min="15" max="15" width="3.5703125" style="14" bestFit="1" customWidth="1"/>
    <col min="16" max="16" width="3.28515625" style="14" bestFit="1" customWidth="1"/>
    <col min="17" max="17" width="4.7109375" style="11" bestFit="1" customWidth="1"/>
    <col min="18" max="18" width="3.140625" style="14" bestFit="1" customWidth="1"/>
    <col min="19" max="19" width="5" style="14" bestFit="1" customWidth="1"/>
    <col min="20" max="20" width="6.28515625" style="10" bestFit="1" customWidth="1"/>
    <col min="21" max="21" width="6.140625" style="10" bestFit="1" customWidth="1"/>
    <col min="22" max="22" width="4.42578125" style="10" bestFit="1" customWidth="1"/>
    <col min="23" max="23" width="5.85546875" style="14" bestFit="1" customWidth="1"/>
    <col min="24" max="25" width="7.140625" style="79" bestFit="1" customWidth="1"/>
    <col min="26" max="26" width="5" style="14" bestFit="1" customWidth="1"/>
    <col min="27" max="27" width="3.7109375" style="10" bestFit="1" customWidth="1"/>
    <col min="28" max="28" width="3.28515625" style="14" bestFit="1" customWidth="1"/>
    <col min="29" max="29" width="6" style="10" bestFit="1" customWidth="1"/>
    <col min="30" max="30" width="5.42578125" style="10" bestFit="1" customWidth="1"/>
    <col min="31" max="31" width="6" style="35" bestFit="1" customWidth="1"/>
    <col min="32" max="32" width="6.28515625" style="35" bestFit="1" customWidth="1"/>
    <col min="33" max="34" width="6.28515625" style="100" bestFit="1" customWidth="1"/>
    <col min="35" max="35" width="4.140625" style="22" bestFit="1" customWidth="1"/>
    <col min="36" max="36" width="3.28515625" style="22" bestFit="1" customWidth="1"/>
    <col min="37" max="37" width="5.42578125" style="22" bestFit="1" customWidth="1"/>
    <col min="38" max="38" width="3.140625" style="22" bestFit="1" customWidth="1"/>
    <col min="39" max="39" width="5" style="22" bestFit="1" customWidth="1"/>
    <col min="40" max="40" width="5.42578125" style="22" bestFit="1" customWidth="1"/>
    <col min="41" max="41" width="6.140625" style="22" bestFit="1" customWidth="1"/>
    <col min="42" max="16384" width="7.42578125" style="5"/>
  </cols>
  <sheetData>
    <row r="1" spans="1:41" s="1" customFormat="1" ht="14.45" customHeight="1" x14ac:dyDescent="0.2">
      <c r="A1" s="2"/>
      <c r="B1" s="2"/>
      <c r="C1" s="27"/>
      <c r="D1" s="87"/>
      <c r="E1" s="87"/>
      <c r="F1" s="27"/>
      <c r="H1" s="27"/>
      <c r="I1" s="42"/>
      <c r="J1" s="42"/>
      <c r="K1" s="42"/>
      <c r="L1" s="87"/>
      <c r="M1" s="87"/>
      <c r="N1" s="87"/>
      <c r="O1" s="27"/>
      <c r="P1" s="27"/>
      <c r="Q1" s="42"/>
      <c r="R1" s="27"/>
      <c r="S1" s="27"/>
      <c r="T1" s="28"/>
      <c r="U1" s="28"/>
      <c r="V1" s="28"/>
      <c r="W1" s="27"/>
      <c r="X1" s="87"/>
      <c r="Y1" s="87"/>
      <c r="Z1" s="27"/>
      <c r="AA1" s="28"/>
      <c r="AB1" s="27"/>
      <c r="AC1" s="28"/>
      <c r="AD1" s="28"/>
      <c r="AE1" s="38"/>
      <c r="AF1" s="38"/>
      <c r="AG1" s="191"/>
      <c r="AH1" s="191"/>
      <c r="AI1" s="88"/>
      <c r="AJ1" s="88"/>
      <c r="AK1" s="88"/>
      <c r="AL1" s="88"/>
      <c r="AM1" s="88"/>
      <c r="AN1" s="88"/>
      <c r="AO1" s="88"/>
    </row>
    <row r="2" spans="1:41" s="1" customFormat="1" ht="14.45" customHeight="1" x14ac:dyDescent="0.2">
      <c r="A2" s="2"/>
      <c r="B2" s="2"/>
      <c r="C2" s="27"/>
      <c r="D2" s="87"/>
      <c r="E2" s="87"/>
      <c r="F2" s="27"/>
      <c r="H2" s="27"/>
      <c r="I2" s="42"/>
      <c r="J2" s="42"/>
      <c r="K2" s="42"/>
      <c r="L2" s="87"/>
      <c r="M2" s="87"/>
      <c r="N2" s="87"/>
      <c r="O2" s="27"/>
      <c r="P2" s="27"/>
      <c r="Q2" s="42"/>
      <c r="R2" s="27"/>
      <c r="S2" s="27"/>
      <c r="T2" s="28"/>
      <c r="U2" s="28"/>
      <c r="V2" s="28"/>
      <c r="W2" s="27"/>
      <c r="X2" s="87"/>
      <c r="Y2" s="87"/>
      <c r="Z2" s="27"/>
      <c r="AA2" s="28"/>
      <c r="AB2" s="27"/>
      <c r="AC2" s="28"/>
      <c r="AD2" s="28"/>
      <c r="AE2" s="38"/>
      <c r="AF2" s="38"/>
      <c r="AG2" s="191"/>
      <c r="AH2" s="191"/>
      <c r="AI2" s="88"/>
      <c r="AJ2" s="88"/>
      <c r="AK2" s="88"/>
      <c r="AL2" s="88"/>
      <c r="AM2" s="88"/>
      <c r="AN2" s="88"/>
      <c r="AO2" s="88"/>
    </row>
    <row r="3" spans="1:41" s="1" customFormat="1" ht="14.45" customHeight="1" x14ac:dyDescent="0.2">
      <c r="A3" s="2"/>
      <c r="B3" s="3"/>
      <c r="C3" s="80" t="s">
        <v>2</v>
      </c>
      <c r="F3" s="31">
        <f>stat_uppg!E3</f>
        <v>2021</v>
      </c>
      <c r="G3" s="5"/>
      <c r="I3" s="42"/>
      <c r="J3" s="89"/>
      <c r="K3" s="90"/>
      <c r="L3" s="91"/>
      <c r="M3" s="91"/>
      <c r="N3" s="87"/>
      <c r="O3" s="27"/>
      <c r="P3" s="27"/>
      <c r="Q3" s="42"/>
      <c r="R3" s="27"/>
      <c r="S3" s="27"/>
      <c r="T3" s="28"/>
      <c r="U3" s="28"/>
      <c r="V3" s="28"/>
      <c r="W3" s="27"/>
      <c r="X3" s="87"/>
      <c r="Y3" s="87"/>
      <c r="Z3" s="27"/>
      <c r="AA3" s="28"/>
      <c r="AB3" s="27"/>
      <c r="AC3" s="28"/>
      <c r="AD3" s="28"/>
      <c r="AE3" s="38"/>
      <c r="AF3" s="38"/>
      <c r="AG3" s="191"/>
      <c r="AH3" s="191"/>
      <c r="AI3" s="88"/>
      <c r="AJ3" s="88"/>
      <c r="AK3" s="88"/>
      <c r="AL3" s="88"/>
      <c r="AM3" s="88"/>
      <c r="AN3" s="88"/>
      <c r="AO3" s="88"/>
    </row>
    <row r="4" spans="1:41" s="1" customFormat="1" ht="14.45" customHeight="1" x14ac:dyDescent="0.2">
      <c r="A4" s="7"/>
      <c r="B4" s="3"/>
      <c r="C4" s="86" t="str">
        <f>"Gränsvärden kvalitetskontroll (QC)"</f>
        <v>Gränsvärden kvalitetskontroll (QC)</v>
      </c>
      <c r="D4" s="87"/>
      <c r="E4" s="87"/>
      <c r="F4" s="27"/>
      <c r="G4" s="5"/>
      <c r="H4" s="27"/>
      <c r="I4" s="42"/>
      <c r="J4" s="42"/>
      <c r="K4" s="42"/>
      <c r="L4" s="87"/>
      <c r="M4" s="87"/>
      <c r="N4" s="87"/>
      <c r="O4" s="27"/>
      <c r="P4" s="27"/>
      <c r="Q4" s="42"/>
      <c r="R4" s="27"/>
      <c r="S4" s="27"/>
      <c r="T4" s="28"/>
      <c r="U4" s="28"/>
      <c r="V4" s="28"/>
      <c r="W4" s="27"/>
      <c r="X4" s="87"/>
      <c r="Y4" s="87"/>
      <c r="Z4" s="27"/>
      <c r="AA4" s="28"/>
      <c r="AB4" s="27"/>
      <c r="AC4" s="28"/>
      <c r="AD4" s="28"/>
      <c r="AE4" s="38"/>
      <c r="AF4" s="38"/>
      <c r="AG4" s="191"/>
      <c r="AH4" s="191"/>
      <c r="AI4" s="88"/>
      <c r="AJ4" s="88"/>
      <c r="AK4" s="88"/>
      <c r="AL4" s="88"/>
      <c r="AM4" s="88"/>
      <c r="AN4" s="88"/>
      <c r="AO4" s="88"/>
    </row>
    <row r="5" spans="1:41" s="1" customFormat="1" ht="14.45" customHeight="1" x14ac:dyDescent="0.2">
      <c r="A5" s="7"/>
      <c r="B5" s="3"/>
      <c r="C5" s="86" t="str">
        <f>"Gränsvärden relativt medelvattenstånd och i RH 2000 för år "&amp;TEXT(F3,"0000")&amp;""</f>
        <v>Gränsvärden relativt medelvattenstånd och i RH 2000 för år 2021</v>
      </c>
      <c r="D5" s="87"/>
      <c r="E5" s="87"/>
      <c r="F5" s="27"/>
      <c r="G5" s="5"/>
      <c r="H5" s="27"/>
      <c r="I5" s="42"/>
      <c r="J5" s="42"/>
      <c r="K5" s="42"/>
      <c r="L5" s="87"/>
      <c r="M5" s="87"/>
      <c r="N5" s="87"/>
      <c r="O5" s="27"/>
      <c r="P5" s="27"/>
      <c r="Q5" s="42"/>
      <c r="R5" s="27"/>
      <c r="S5" s="27"/>
      <c r="T5" s="28"/>
      <c r="U5" s="28"/>
      <c r="V5" s="28"/>
      <c r="W5" s="27"/>
      <c r="X5" s="87"/>
      <c r="Y5" s="87"/>
      <c r="Z5" s="27"/>
      <c r="AA5" s="28"/>
      <c r="AB5" s="27"/>
      <c r="AC5" s="28"/>
      <c r="AD5" s="28"/>
      <c r="AE5" s="38"/>
      <c r="AF5" s="38"/>
      <c r="AG5" s="191"/>
      <c r="AH5" s="191"/>
      <c r="AI5" s="88"/>
      <c r="AJ5" s="88"/>
      <c r="AK5" s="88"/>
      <c r="AL5" s="88"/>
      <c r="AM5" s="88"/>
      <c r="AN5" s="88"/>
      <c r="AO5" s="88"/>
    </row>
    <row r="6" spans="1:41" s="1" customFormat="1" ht="14.45" customHeight="1" x14ac:dyDescent="0.2">
      <c r="A6" s="7"/>
      <c r="B6" s="3"/>
      <c r="C6" s="2" t="s">
        <v>424</v>
      </c>
      <c r="D6" s="87"/>
      <c r="E6" s="87"/>
      <c r="F6" s="27"/>
      <c r="G6" s="5"/>
      <c r="H6" s="27"/>
      <c r="I6" s="42"/>
      <c r="J6" s="42"/>
      <c r="K6" s="42"/>
      <c r="L6" s="87"/>
      <c r="M6" s="87"/>
      <c r="N6" s="87"/>
      <c r="O6" s="27"/>
      <c r="P6" s="27"/>
      <c r="Q6" s="42"/>
      <c r="R6" s="27"/>
      <c r="S6" s="27"/>
      <c r="T6" s="28"/>
      <c r="U6" s="28"/>
      <c r="V6" s="28"/>
      <c r="W6" s="27"/>
      <c r="X6" s="87"/>
      <c r="Y6" s="87"/>
      <c r="Z6" s="27"/>
      <c r="AA6" s="28"/>
      <c r="AB6" s="27"/>
      <c r="AC6" s="28"/>
      <c r="AD6" s="28"/>
      <c r="AE6" s="38"/>
      <c r="AF6" s="38"/>
      <c r="AG6" s="191"/>
      <c r="AH6" s="191"/>
      <c r="AI6" s="88"/>
      <c r="AJ6" s="88"/>
      <c r="AK6" s="88"/>
      <c r="AL6" s="88"/>
      <c r="AM6" s="88"/>
      <c r="AN6" s="88"/>
      <c r="AO6" s="88"/>
    </row>
    <row r="7" spans="1:41" s="1" customFormat="1" ht="14.45" customHeight="1" thickBot="1" x14ac:dyDescent="0.25">
      <c r="A7" s="7"/>
      <c r="B7" s="7">
        <f ca="1">NOW()</f>
        <v>44284.697198379632</v>
      </c>
      <c r="C7" s="27"/>
      <c r="D7" s="87"/>
      <c r="E7" s="87"/>
      <c r="F7" s="27"/>
      <c r="G7" s="5"/>
      <c r="H7" s="27"/>
      <c r="I7" s="42"/>
      <c r="J7" s="42"/>
      <c r="K7" s="42"/>
      <c r="L7" s="87"/>
      <c r="M7" s="87"/>
      <c r="N7" s="87"/>
      <c r="O7" s="27"/>
      <c r="P7" s="27"/>
      <c r="Q7" s="42"/>
      <c r="R7" s="27"/>
      <c r="S7" s="27"/>
      <c r="U7" s="28"/>
      <c r="W7" s="27"/>
      <c r="X7" s="87"/>
      <c r="Y7" s="87"/>
      <c r="Z7" s="27"/>
      <c r="AA7" s="28"/>
      <c r="AB7" s="27"/>
      <c r="AG7" s="87"/>
      <c r="AH7" s="87"/>
      <c r="AI7" s="27"/>
      <c r="AJ7" s="27"/>
      <c r="AK7" s="27"/>
      <c r="AL7" s="27"/>
      <c r="AM7" s="27"/>
      <c r="AN7" s="27"/>
      <c r="AO7" s="27"/>
    </row>
    <row r="8" spans="1:41" s="1" customFormat="1" ht="14.45" customHeight="1" thickBot="1" x14ac:dyDescent="0.25">
      <c r="A8" s="7"/>
      <c r="B8" s="7"/>
      <c r="C8" s="224" t="s">
        <v>318</v>
      </c>
      <c r="D8" s="225"/>
      <c r="E8" s="225"/>
      <c r="F8" s="226"/>
      <c r="G8" s="226"/>
      <c r="H8" s="226"/>
      <c r="I8" s="226"/>
      <c r="J8" s="226"/>
      <c r="K8" s="226"/>
      <c r="L8" s="226"/>
      <c r="M8" s="226"/>
      <c r="N8" s="226"/>
      <c r="O8" s="226"/>
      <c r="P8" s="226"/>
      <c r="Q8" s="226"/>
      <c r="R8" s="226"/>
      <c r="S8" s="226"/>
      <c r="T8" s="226"/>
      <c r="U8" s="227"/>
      <c r="V8" s="92"/>
      <c r="W8" s="224" t="str">
        <f>"Gränsvärden i RH2000 (m) för år "&amp;TEXT(F3,"0000")&amp;""</f>
        <v>Gränsvärden i RH2000 (m) för år 2021</v>
      </c>
      <c r="X8" s="228"/>
      <c r="Y8" s="228"/>
      <c r="Z8" s="228"/>
      <c r="AA8" s="228"/>
      <c r="AB8" s="228"/>
      <c r="AC8" s="228"/>
      <c r="AD8" s="228"/>
      <c r="AE8" s="228"/>
      <c r="AF8" s="228"/>
      <c r="AG8" s="228"/>
      <c r="AH8" s="228"/>
      <c r="AI8" s="228"/>
      <c r="AJ8" s="228"/>
      <c r="AK8" s="228"/>
      <c r="AL8" s="228"/>
      <c r="AM8" s="228"/>
      <c r="AN8" s="228"/>
      <c r="AO8" s="229"/>
    </row>
    <row r="9" spans="1:41" s="6" customFormat="1" ht="78" thickBot="1" x14ac:dyDescent="0.25">
      <c r="A9" s="23" t="s">
        <v>0</v>
      </c>
      <c r="B9" s="23" t="s">
        <v>1</v>
      </c>
      <c r="C9" s="180" t="s">
        <v>320</v>
      </c>
      <c r="D9" s="172" t="s">
        <v>107</v>
      </c>
      <c r="E9" s="172" t="s">
        <v>108</v>
      </c>
      <c r="F9" s="173" t="s">
        <v>298</v>
      </c>
      <c r="G9" s="173" t="s">
        <v>297</v>
      </c>
      <c r="H9" s="181" t="s">
        <v>283</v>
      </c>
      <c r="I9" s="170" t="s">
        <v>284</v>
      </c>
      <c r="J9" s="171" t="s">
        <v>285</v>
      </c>
      <c r="K9" s="171" t="s">
        <v>286</v>
      </c>
      <c r="L9" s="172" t="s">
        <v>287</v>
      </c>
      <c r="M9" s="172" t="s">
        <v>288</v>
      </c>
      <c r="N9" s="172" t="s">
        <v>289</v>
      </c>
      <c r="O9" s="173" t="s">
        <v>290</v>
      </c>
      <c r="P9" s="173" t="s">
        <v>291</v>
      </c>
      <c r="Q9" s="171" t="s">
        <v>292</v>
      </c>
      <c r="R9" s="173" t="s">
        <v>293</v>
      </c>
      <c r="S9" s="173" t="s">
        <v>305</v>
      </c>
      <c r="T9" s="172" t="s">
        <v>321</v>
      </c>
      <c r="U9" s="181" t="s">
        <v>294</v>
      </c>
      <c r="V9" s="81"/>
      <c r="W9" s="93" t="s">
        <v>320</v>
      </c>
      <c r="X9" s="94" t="s">
        <v>107</v>
      </c>
      <c r="Y9" s="94" t="s">
        <v>108</v>
      </c>
      <c r="Z9" s="95" t="s">
        <v>298</v>
      </c>
      <c r="AA9" s="97" t="s">
        <v>297</v>
      </c>
      <c r="AB9" s="95" t="s">
        <v>283</v>
      </c>
      <c r="AC9" s="117" t="s">
        <v>284</v>
      </c>
      <c r="AD9" s="96" t="s">
        <v>285</v>
      </c>
      <c r="AE9" s="96" t="s">
        <v>286</v>
      </c>
      <c r="AF9" s="94" t="s">
        <v>287</v>
      </c>
      <c r="AG9" s="94" t="s">
        <v>288</v>
      </c>
      <c r="AH9" s="94" t="s">
        <v>289</v>
      </c>
      <c r="AI9" s="95" t="s">
        <v>290</v>
      </c>
      <c r="AJ9" s="95" t="s">
        <v>291</v>
      </c>
      <c r="AK9" s="96" t="s">
        <v>292</v>
      </c>
      <c r="AL9" s="95" t="s">
        <v>293</v>
      </c>
      <c r="AM9" s="95" t="s">
        <v>305</v>
      </c>
      <c r="AN9" s="96" t="s">
        <v>321</v>
      </c>
      <c r="AO9" s="183" t="s">
        <v>294</v>
      </c>
    </row>
    <row r="10" spans="1:41" s="1" customFormat="1" x14ac:dyDescent="0.2">
      <c r="A10" s="3" t="str">
        <f>stat_uppg!A9</f>
        <v>2588/33088</v>
      </c>
      <c r="B10" s="3" t="str">
        <f>stat_uppg!B9</f>
        <v>Haparanda (SMHI) nedlagd</v>
      </c>
      <c r="C10" s="55">
        <v>2588</v>
      </c>
      <c r="D10" s="79">
        <v>65.771699999999996</v>
      </c>
      <c r="E10" s="79">
        <v>23.903099999999998</v>
      </c>
      <c r="F10" s="14">
        <v>8195</v>
      </c>
      <c r="G10" s="10">
        <v>0</v>
      </c>
      <c r="H10" s="122">
        <v>1</v>
      </c>
      <c r="I10" s="165">
        <v>-1.264</v>
      </c>
      <c r="J10" s="11">
        <v>1.7649999999999999</v>
      </c>
      <c r="K10" s="11">
        <v>0.223</v>
      </c>
      <c r="L10" s="79">
        <v>0.38979999999999998</v>
      </c>
      <c r="M10" s="79">
        <v>4.9500000000000002E-2</v>
      </c>
      <c r="N10" s="79">
        <v>5.1999999999999998E-2</v>
      </c>
      <c r="O10" s="14">
        <v>180</v>
      </c>
      <c r="P10" s="14">
        <v>60</v>
      </c>
      <c r="Q10" s="11">
        <v>1E-3</v>
      </c>
      <c r="R10" s="14">
        <v>3</v>
      </c>
      <c r="S10" s="14">
        <v>1500</v>
      </c>
      <c r="T10" s="11">
        <v>0.1</v>
      </c>
      <c r="U10" s="159">
        <v>265520</v>
      </c>
      <c r="V10" s="22"/>
      <c r="W10" s="99">
        <f t="shared" ref="W10:W41" si="0">C10</f>
        <v>2588</v>
      </c>
      <c r="X10" s="100">
        <f t="shared" ref="X10:X41" si="1">D10</f>
        <v>65.771699999999996</v>
      </c>
      <c r="Y10" s="100">
        <f t="shared" ref="Y10:Y41" si="2">E10</f>
        <v>23.903099999999998</v>
      </c>
      <c r="Z10" s="22">
        <f t="shared" ref="Z10:Z41" si="3">F10</f>
        <v>8195</v>
      </c>
      <c r="AA10" s="35">
        <f t="shared" ref="AA10:AA41" si="4">G10</f>
        <v>0</v>
      </c>
      <c r="AB10" s="22">
        <f t="shared" ref="AB10:AB41" si="5">H10</f>
        <v>1</v>
      </c>
      <c r="AC10" s="120">
        <f>ROUND(I10+mwreg!$G$9/100,3)</f>
        <v>-1.2050000000000001</v>
      </c>
      <c r="AD10" s="106">
        <f>ROUND(J10+mwreg!$G$9/100,3)</f>
        <v>1.8240000000000001</v>
      </c>
      <c r="AE10" s="106">
        <f>ROUND(K10+mwreg!$G$9/100,3)</f>
        <v>0.28199999999999997</v>
      </c>
      <c r="AF10" s="100">
        <f>L10</f>
        <v>0.38979999999999998</v>
      </c>
      <c r="AG10" s="100">
        <f>M10</f>
        <v>4.9500000000000002E-2</v>
      </c>
      <c r="AH10" s="100">
        <f t="shared" ref="AH10:AH33" si="6">N10</f>
        <v>5.1999999999999998E-2</v>
      </c>
      <c r="AI10" s="22">
        <f t="shared" ref="AI10:AI33" si="7">O10</f>
        <v>180</v>
      </c>
      <c r="AJ10" s="22">
        <f t="shared" ref="AJ10:AJ33" si="8">P10</f>
        <v>60</v>
      </c>
      <c r="AK10" s="106">
        <f t="shared" ref="AK10:AK33" si="9">Q10</f>
        <v>1E-3</v>
      </c>
      <c r="AL10" s="22">
        <f t="shared" ref="AL10:AL33" si="10">R10</f>
        <v>3</v>
      </c>
      <c r="AM10" s="22">
        <f t="shared" ref="AM10:AM33" si="11">S10</f>
        <v>1500</v>
      </c>
      <c r="AN10" s="106">
        <f t="shared" ref="AN10:AN33" si="12">T10</f>
        <v>0.1</v>
      </c>
      <c r="AO10" s="184">
        <f t="shared" ref="AO10:AO33" si="13">U10</f>
        <v>265520</v>
      </c>
    </row>
    <row r="11" spans="1:41" s="1" customFormat="1" x14ac:dyDescent="0.2">
      <c r="A11" s="3" t="s">
        <v>296</v>
      </c>
      <c r="B11" s="3" t="s">
        <v>296</v>
      </c>
      <c r="C11" s="55">
        <v>2588</v>
      </c>
      <c r="D11" s="79">
        <v>65.771699999999996</v>
      </c>
      <c r="E11" s="79">
        <v>23.903099999999998</v>
      </c>
      <c r="F11" s="14">
        <v>8195</v>
      </c>
      <c r="G11" s="10">
        <v>0</v>
      </c>
      <c r="H11" s="122">
        <v>2</v>
      </c>
      <c r="I11" s="165">
        <v>-0.85399999999999998</v>
      </c>
      <c r="J11" s="11">
        <v>1.4370000000000001</v>
      </c>
      <c r="K11" s="11">
        <v>0.159</v>
      </c>
      <c r="L11" s="79">
        <v>0.36899999999999999</v>
      </c>
      <c r="M11" s="79">
        <v>0.2064</v>
      </c>
      <c r="N11" s="79">
        <v>0.20899999999999999</v>
      </c>
      <c r="O11" s="14">
        <v>180</v>
      </c>
      <c r="P11" s="14">
        <v>60</v>
      </c>
      <c r="Q11" s="11">
        <v>1E-3</v>
      </c>
      <c r="R11" s="14">
        <v>3</v>
      </c>
      <c r="S11" s="14">
        <v>1500</v>
      </c>
      <c r="T11" s="11">
        <v>0.1</v>
      </c>
      <c r="U11" s="159">
        <v>246397</v>
      </c>
      <c r="V11" s="22"/>
      <c r="W11" s="99">
        <f t="shared" si="0"/>
        <v>2588</v>
      </c>
      <c r="X11" s="100">
        <f t="shared" si="1"/>
        <v>65.771699999999996</v>
      </c>
      <c r="Y11" s="100">
        <f t="shared" si="2"/>
        <v>23.903099999999998</v>
      </c>
      <c r="Z11" s="22">
        <f t="shared" si="3"/>
        <v>8195</v>
      </c>
      <c r="AA11" s="35">
        <f t="shared" si="4"/>
        <v>0</v>
      </c>
      <c r="AB11" s="22">
        <f t="shared" si="5"/>
        <v>2</v>
      </c>
      <c r="AC11" s="120">
        <f>ROUND(I11+mwreg!$G$9/100,3)</f>
        <v>-0.79500000000000004</v>
      </c>
      <c r="AD11" s="106">
        <f>ROUND(J11+mwreg!$G$9/100,3)</f>
        <v>1.496</v>
      </c>
      <c r="AE11" s="106">
        <f>ROUND(K11+mwreg!$G$9/100,3)</f>
        <v>0.218</v>
      </c>
      <c r="AF11" s="100">
        <f t="shared" ref="AF11:AF74" si="14">L11</f>
        <v>0.36899999999999999</v>
      </c>
      <c r="AG11" s="100">
        <f t="shared" ref="AG11:AG74" si="15">M11</f>
        <v>0.2064</v>
      </c>
      <c r="AH11" s="100">
        <f t="shared" si="6"/>
        <v>0.20899999999999999</v>
      </c>
      <c r="AI11" s="22">
        <f t="shared" si="7"/>
        <v>180</v>
      </c>
      <c r="AJ11" s="22">
        <f t="shared" si="8"/>
        <v>60</v>
      </c>
      <c r="AK11" s="106">
        <f t="shared" si="9"/>
        <v>1E-3</v>
      </c>
      <c r="AL11" s="22">
        <f t="shared" si="10"/>
        <v>3</v>
      </c>
      <c r="AM11" s="22">
        <f t="shared" si="11"/>
        <v>1500</v>
      </c>
      <c r="AN11" s="106">
        <f t="shared" si="12"/>
        <v>0.1</v>
      </c>
      <c r="AO11" s="184">
        <f t="shared" si="13"/>
        <v>246397</v>
      </c>
    </row>
    <row r="12" spans="1:41" s="1" customFormat="1" x14ac:dyDescent="0.2">
      <c r="A12" s="3" t="s">
        <v>296</v>
      </c>
      <c r="B12" s="3" t="s">
        <v>296</v>
      </c>
      <c r="C12" s="55">
        <v>2588</v>
      </c>
      <c r="D12" s="79">
        <v>65.771699999999996</v>
      </c>
      <c r="E12" s="79">
        <v>23.903099999999998</v>
      </c>
      <c r="F12" s="14">
        <v>8195</v>
      </c>
      <c r="G12" s="10">
        <v>0</v>
      </c>
      <c r="H12" s="122">
        <v>3</v>
      </c>
      <c r="I12" s="165">
        <v>-0.90400000000000003</v>
      </c>
      <c r="J12" s="11">
        <v>1.2689999999999999</v>
      </c>
      <c r="K12" s="11">
        <v>0.06</v>
      </c>
      <c r="L12" s="79">
        <v>0.28389999999999999</v>
      </c>
      <c r="M12" s="79">
        <v>0.2389</v>
      </c>
      <c r="N12" s="79">
        <v>0.24199999999999999</v>
      </c>
      <c r="O12" s="14">
        <v>180</v>
      </c>
      <c r="P12" s="14">
        <v>60</v>
      </c>
      <c r="Q12" s="11">
        <v>1E-3</v>
      </c>
      <c r="R12" s="14">
        <v>3</v>
      </c>
      <c r="S12" s="14">
        <v>1500</v>
      </c>
      <c r="T12" s="11">
        <v>0.1</v>
      </c>
      <c r="U12" s="159">
        <v>281178</v>
      </c>
      <c r="V12" s="22"/>
      <c r="W12" s="99">
        <f t="shared" si="0"/>
        <v>2588</v>
      </c>
      <c r="X12" s="100">
        <f t="shared" si="1"/>
        <v>65.771699999999996</v>
      </c>
      <c r="Y12" s="100">
        <f t="shared" si="2"/>
        <v>23.903099999999998</v>
      </c>
      <c r="Z12" s="22">
        <f t="shared" si="3"/>
        <v>8195</v>
      </c>
      <c r="AA12" s="35">
        <f t="shared" si="4"/>
        <v>0</v>
      </c>
      <c r="AB12" s="22">
        <f t="shared" si="5"/>
        <v>3</v>
      </c>
      <c r="AC12" s="120">
        <f>ROUND(I12+mwreg!$G$9/100,3)</f>
        <v>-0.84499999999999997</v>
      </c>
      <c r="AD12" s="106">
        <f>ROUND(J12+mwreg!$G$9/100,3)</f>
        <v>1.3280000000000001</v>
      </c>
      <c r="AE12" s="106">
        <f>ROUND(K12+mwreg!$G$9/100,3)</f>
        <v>0.11899999999999999</v>
      </c>
      <c r="AF12" s="100">
        <f t="shared" si="14"/>
        <v>0.28389999999999999</v>
      </c>
      <c r="AG12" s="100">
        <f t="shared" si="15"/>
        <v>0.2389</v>
      </c>
      <c r="AH12" s="100">
        <f t="shared" si="6"/>
        <v>0.24199999999999999</v>
      </c>
      <c r="AI12" s="22">
        <f t="shared" si="7"/>
        <v>180</v>
      </c>
      <c r="AJ12" s="22">
        <f t="shared" si="8"/>
        <v>60</v>
      </c>
      <c r="AK12" s="106">
        <f t="shared" si="9"/>
        <v>1E-3</v>
      </c>
      <c r="AL12" s="22">
        <f t="shared" si="10"/>
        <v>3</v>
      </c>
      <c r="AM12" s="22">
        <f t="shared" si="11"/>
        <v>1500</v>
      </c>
      <c r="AN12" s="106">
        <f t="shared" si="12"/>
        <v>0.1</v>
      </c>
      <c r="AO12" s="184">
        <f t="shared" si="13"/>
        <v>281178</v>
      </c>
    </row>
    <row r="13" spans="1:41" s="1" customFormat="1" x14ac:dyDescent="0.2">
      <c r="A13" s="3" t="s">
        <v>296</v>
      </c>
      <c r="B13" s="3" t="s">
        <v>296</v>
      </c>
      <c r="C13" s="55">
        <v>2588</v>
      </c>
      <c r="D13" s="79">
        <v>65.771699999999996</v>
      </c>
      <c r="E13" s="79">
        <v>23.903099999999998</v>
      </c>
      <c r="F13" s="14">
        <v>8195</v>
      </c>
      <c r="G13" s="10">
        <v>0</v>
      </c>
      <c r="H13" s="122">
        <v>4</v>
      </c>
      <c r="I13" s="165">
        <v>-1.1739999999999999</v>
      </c>
      <c r="J13" s="11">
        <v>0.86499999999999999</v>
      </c>
      <c r="K13" s="11">
        <v>-8.4000000000000005E-2</v>
      </c>
      <c r="L13" s="79">
        <v>0.22059999999999999</v>
      </c>
      <c r="M13" s="79">
        <v>0.13669999999999999</v>
      </c>
      <c r="N13" s="79">
        <v>0.13900000000000001</v>
      </c>
      <c r="O13" s="14">
        <v>180</v>
      </c>
      <c r="P13" s="14">
        <v>60</v>
      </c>
      <c r="Q13" s="11">
        <v>1E-3</v>
      </c>
      <c r="R13" s="14">
        <v>3</v>
      </c>
      <c r="S13" s="14">
        <v>1500</v>
      </c>
      <c r="T13" s="11">
        <v>0.1</v>
      </c>
      <c r="U13" s="159">
        <v>257757</v>
      </c>
      <c r="V13" s="22"/>
      <c r="W13" s="99">
        <f t="shared" si="0"/>
        <v>2588</v>
      </c>
      <c r="X13" s="100">
        <f t="shared" si="1"/>
        <v>65.771699999999996</v>
      </c>
      <c r="Y13" s="100">
        <f t="shared" si="2"/>
        <v>23.903099999999998</v>
      </c>
      <c r="Z13" s="22">
        <f t="shared" si="3"/>
        <v>8195</v>
      </c>
      <c r="AA13" s="35">
        <f t="shared" si="4"/>
        <v>0</v>
      </c>
      <c r="AB13" s="22">
        <f t="shared" si="5"/>
        <v>4</v>
      </c>
      <c r="AC13" s="120">
        <f>ROUND(I13+mwreg!$G$9/100,3)</f>
        <v>-1.115</v>
      </c>
      <c r="AD13" s="106">
        <f>ROUND(J13+mwreg!$G$9/100,3)</f>
        <v>0.92400000000000004</v>
      </c>
      <c r="AE13" s="106">
        <f>ROUND(K13+mwreg!$G$9/100,3)</f>
        <v>-2.5000000000000001E-2</v>
      </c>
      <c r="AF13" s="100">
        <f t="shared" si="14"/>
        <v>0.22059999999999999</v>
      </c>
      <c r="AG13" s="100">
        <f t="shared" si="15"/>
        <v>0.13669999999999999</v>
      </c>
      <c r="AH13" s="100">
        <f t="shared" si="6"/>
        <v>0.13900000000000001</v>
      </c>
      <c r="AI13" s="22">
        <f t="shared" si="7"/>
        <v>180</v>
      </c>
      <c r="AJ13" s="22">
        <f t="shared" si="8"/>
        <v>60</v>
      </c>
      <c r="AK13" s="106">
        <f t="shared" si="9"/>
        <v>1E-3</v>
      </c>
      <c r="AL13" s="22">
        <f t="shared" si="10"/>
        <v>3</v>
      </c>
      <c r="AM13" s="22">
        <f t="shared" si="11"/>
        <v>1500</v>
      </c>
      <c r="AN13" s="106">
        <f t="shared" si="12"/>
        <v>0.1</v>
      </c>
      <c r="AO13" s="184">
        <f t="shared" si="13"/>
        <v>257757</v>
      </c>
    </row>
    <row r="14" spans="1:41" s="1" customFormat="1" x14ac:dyDescent="0.2">
      <c r="A14" s="3" t="s">
        <v>296</v>
      </c>
      <c r="B14" s="3" t="s">
        <v>296</v>
      </c>
      <c r="C14" s="55">
        <v>2588</v>
      </c>
      <c r="D14" s="79">
        <v>65.771699999999996</v>
      </c>
      <c r="E14" s="79">
        <v>23.903099999999998</v>
      </c>
      <c r="F14" s="14">
        <v>8195</v>
      </c>
      <c r="G14" s="10">
        <v>0</v>
      </c>
      <c r="H14" s="122">
        <v>5</v>
      </c>
      <c r="I14" s="165">
        <v>-0.92900000000000005</v>
      </c>
      <c r="J14" s="11">
        <v>0.89500000000000002</v>
      </c>
      <c r="K14" s="11">
        <v>-4.5999999999999999E-2</v>
      </c>
      <c r="L14" s="79">
        <v>0.19869999999999999</v>
      </c>
      <c r="M14" s="79">
        <v>2.3E-2</v>
      </c>
      <c r="N14" s="79">
        <v>2.5999999999999999E-2</v>
      </c>
      <c r="O14" s="14">
        <v>180</v>
      </c>
      <c r="P14" s="14">
        <v>60</v>
      </c>
      <c r="Q14" s="11">
        <v>1E-3</v>
      </c>
      <c r="R14" s="14">
        <v>3</v>
      </c>
      <c r="S14" s="14">
        <v>1500</v>
      </c>
      <c r="T14" s="11">
        <v>0.1</v>
      </c>
      <c r="U14" s="159">
        <v>268766</v>
      </c>
      <c r="V14" s="22"/>
      <c r="W14" s="99">
        <f t="shared" si="0"/>
        <v>2588</v>
      </c>
      <c r="X14" s="100">
        <f t="shared" si="1"/>
        <v>65.771699999999996</v>
      </c>
      <c r="Y14" s="100">
        <f t="shared" si="2"/>
        <v>23.903099999999998</v>
      </c>
      <c r="Z14" s="22">
        <f t="shared" si="3"/>
        <v>8195</v>
      </c>
      <c r="AA14" s="35">
        <f t="shared" si="4"/>
        <v>0</v>
      </c>
      <c r="AB14" s="22">
        <f t="shared" si="5"/>
        <v>5</v>
      </c>
      <c r="AC14" s="120">
        <f>ROUND(I14+mwreg!$G$9/100,3)</f>
        <v>-0.87</v>
      </c>
      <c r="AD14" s="106">
        <f>ROUND(J14+mwreg!$G$9/100,3)</f>
        <v>0.95399999999999996</v>
      </c>
      <c r="AE14" s="106">
        <f>ROUND(K14+mwreg!$G$9/100,3)</f>
        <v>1.2999999999999999E-2</v>
      </c>
      <c r="AF14" s="100">
        <f t="shared" si="14"/>
        <v>0.19869999999999999</v>
      </c>
      <c r="AG14" s="100">
        <f t="shared" si="15"/>
        <v>2.3E-2</v>
      </c>
      <c r="AH14" s="100">
        <f t="shared" si="6"/>
        <v>2.5999999999999999E-2</v>
      </c>
      <c r="AI14" s="22">
        <f t="shared" si="7"/>
        <v>180</v>
      </c>
      <c r="AJ14" s="22">
        <f t="shared" si="8"/>
        <v>60</v>
      </c>
      <c r="AK14" s="106">
        <f t="shared" si="9"/>
        <v>1E-3</v>
      </c>
      <c r="AL14" s="22">
        <f t="shared" si="10"/>
        <v>3</v>
      </c>
      <c r="AM14" s="22">
        <f t="shared" si="11"/>
        <v>1500</v>
      </c>
      <c r="AN14" s="106">
        <f t="shared" si="12"/>
        <v>0.1</v>
      </c>
      <c r="AO14" s="184">
        <f t="shared" si="13"/>
        <v>268766</v>
      </c>
    </row>
    <row r="15" spans="1:41" s="1" customFormat="1" x14ac:dyDescent="0.2">
      <c r="A15" s="3" t="s">
        <v>296</v>
      </c>
      <c r="B15" s="3" t="s">
        <v>296</v>
      </c>
      <c r="C15" s="55">
        <v>2588</v>
      </c>
      <c r="D15" s="79">
        <v>65.771699999999996</v>
      </c>
      <c r="E15" s="79">
        <v>23.903099999999998</v>
      </c>
      <c r="F15" s="14">
        <v>8195</v>
      </c>
      <c r="G15" s="10">
        <v>0</v>
      </c>
      <c r="H15" s="122">
        <v>6</v>
      </c>
      <c r="I15" s="165">
        <v>-0.82299999999999995</v>
      </c>
      <c r="J15" s="11">
        <v>0.81</v>
      </c>
      <c r="K15" s="11">
        <v>-4.5999999999999999E-2</v>
      </c>
      <c r="L15" s="79">
        <v>0.2054</v>
      </c>
      <c r="M15" s="79">
        <v>2.7300000000000001E-2</v>
      </c>
      <c r="N15" s="79">
        <v>0.03</v>
      </c>
      <c r="O15" s="14">
        <v>180</v>
      </c>
      <c r="P15" s="14">
        <v>60</v>
      </c>
      <c r="Q15" s="11">
        <v>1E-3</v>
      </c>
      <c r="R15" s="14">
        <v>3</v>
      </c>
      <c r="S15" s="14">
        <v>1500</v>
      </c>
      <c r="T15" s="11">
        <v>0.1</v>
      </c>
      <c r="U15" s="159">
        <v>256380</v>
      </c>
      <c r="V15" s="22"/>
      <c r="W15" s="99">
        <f t="shared" si="0"/>
        <v>2588</v>
      </c>
      <c r="X15" s="100">
        <f t="shared" si="1"/>
        <v>65.771699999999996</v>
      </c>
      <c r="Y15" s="100">
        <f t="shared" si="2"/>
        <v>23.903099999999998</v>
      </c>
      <c r="Z15" s="22">
        <f t="shared" si="3"/>
        <v>8195</v>
      </c>
      <c r="AA15" s="35">
        <f t="shared" si="4"/>
        <v>0</v>
      </c>
      <c r="AB15" s="22">
        <f t="shared" si="5"/>
        <v>6</v>
      </c>
      <c r="AC15" s="120">
        <f>ROUND(I15+mwreg!$G$9/100,3)</f>
        <v>-0.76400000000000001</v>
      </c>
      <c r="AD15" s="106">
        <f>ROUND(J15+mwreg!$G$9/100,3)</f>
        <v>0.86899999999999999</v>
      </c>
      <c r="AE15" s="106">
        <f>ROUND(K15+mwreg!$G$9/100,3)</f>
        <v>1.2999999999999999E-2</v>
      </c>
      <c r="AF15" s="100">
        <f t="shared" si="14"/>
        <v>0.2054</v>
      </c>
      <c r="AG15" s="100">
        <f t="shared" si="15"/>
        <v>2.7300000000000001E-2</v>
      </c>
      <c r="AH15" s="100">
        <f t="shared" si="6"/>
        <v>0.03</v>
      </c>
      <c r="AI15" s="22">
        <f t="shared" si="7"/>
        <v>180</v>
      </c>
      <c r="AJ15" s="22">
        <f t="shared" si="8"/>
        <v>60</v>
      </c>
      <c r="AK15" s="106">
        <f t="shared" si="9"/>
        <v>1E-3</v>
      </c>
      <c r="AL15" s="22">
        <f t="shared" si="10"/>
        <v>3</v>
      </c>
      <c r="AM15" s="22">
        <f t="shared" si="11"/>
        <v>1500</v>
      </c>
      <c r="AN15" s="106">
        <f t="shared" si="12"/>
        <v>0.1</v>
      </c>
      <c r="AO15" s="184">
        <f t="shared" si="13"/>
        <v>256380</v>
      </c>
    </row>
    <row r="16" spans="1:41" s="1" customFormat="1" x14ac:dyDescent="0.2">
      <c r="A16" s="3" t="s">
        <v>296</v>
      </c>
      <c r="B16" s="3" t="s">
        <v>296</v>
      </c>
      <c r="C16" s="55">
        <v>2588</v>
      </c>
      <c r="D16" s="79">
        <v>65.771699999999996</v>
      </c>
      <c r="E16" s="79">
        <v>23.903099999999998</v>
      </c>
      <c r="F16" s="14">
        <v>8195</v>
      </c>
      <c r="G16" s="10">
        <v>0</v>
      </c>
      <c r="H16" s="122">
        <v>7</v>
      </c>
      <c r="I16" s="165">
        <v>-1.006</v>
      </c>
      <c r="J16" s="11">
        <v>0.58699999999999997</v>
      </c>
      <c r="K16" s="11">
        <v>5.8999999999999997E-2</v>
      </c>
      <c r="L16" s="79">
        <v>0.15440000000000001</v>
      </c>
      <c r="M16" s="79">
        <v>3.5200000000000002E-2</v>
      </c>
      <c r="N16" s="79">
        <v>3.7999999999999999E-2</v>
      </c>
      <c r="O16" s="14">
        <v>180</v>
      </c>
      <c r="P16" s="14">
        <v>60</v>
      </c>
      <c r="Q16" s="11">
        <v>1E-3</v>
      </c>
      <c r="R16" s="14">
        <v>3</v>
      </c>
      <c r="S16" s="14">
        <v>1500</v>
      </c>
      <c r="T16" s="11">
        <v>0.1</v>
      </c>
      <c r="U16" s="159">
        <v>266383</v>
      </c>
      <c r="V16" s="22"/>
      <c r="W16" s="99">
        <f t="shared" si="0"/>
        <v>2588</v>
      </c>
      <c r="X16" s="100">
        <f t="shared" si="1"/>
        <v>65.771699999999996</v>
      </c>
      <c r="Y16" s="100">
        <f t="shared" si="2"/>
        <v>23.903099999999998</v>
      </c>
      <c r="Z16" s="22">
        <f t="shared" si="3"/>
        <v>8195</v>
      </c>
      <c r="AA16" s="35">
        <f t="shared" si="4"/>
        <v>0</v>
      </c>
      <c r="AB16" s="22">
        <f t="shared" si="5"/>
        <v>7</v>
      </c>
      <c r="AC16" s="120">
        <f>ROUND(I16+mwreg!$G$9/100,3)</f>
        <v>-0.94699999999999995</v>
      </c>
      <c r="AD16" s="106">
        <f>ROUND(J16+mwreg!$G$9/100,3)</f>
        <v>0.64600000000000002</v>
      </c>
      <c r="AE16" s="106">
        <f>ROUND(K16+mwreg!$G$9/100,3)</f>
        <v>0.11799999999999999</v>
      </c>
      <c r="AF16" s="100">
        <f t="shared" si="14"/>
        <v>0.15440000000000001</v>
      </c>
      <c r="AG16" s="100">
        <f t="shared" si="15"/>
        <v>3.5200000000000002E-2</v>
      </c>
      <c r="AH16" s="100">
        <f t="shared" si="6"/>
        <v>3.7999999999999999E-2</v>
      </c>
      <c r="AI16" s="22">
        <f t="shared" si="7"/>
        <v>180</v>
      </c>
      <c r="AJ16" s="22">
        <f t="shared" si="8"/>
        <v>60</v>
      </c>
      <c r="AK16" s="106">
        <f t="shared" si="9"/>
        <v>1E-3</v>
      </c>
      <c r="AL16" s="22">
        <f t="shared" si="10"/>
        <v>3</v>
      </c>
      <c r="AM16" s="22">
        <f t="shared" si="11"/>
        <v>1500</v>
      </c>
      <c r="AN16" s="106">
        <f t="shared" si="12"/>
        <v>0.1</v>
      </c>
      <c r="AO16" s="184">
        <f t="shared" si="13"/>
        <v>266383</v>
      </c>
    </row>
    <row r="17" spans="1:41" s="1" customFormat="1" x14ac:dyDescent="0.2">
      <c r="A17" s="3" t="s">
        <v>296</v>
      </c>
      <c r="B17" s="3" t="s">
        <v>296</v>
      </c>
      <c r="C17" s="55">
        <v>2588</v>
      </c>
      <c r="D17" s="79">
        <v>65.771699999999996</v>
      </c>
      <c r="E17" s="79">
        <v>23.903099999999998</v>
      </c>
      <c r="F17" s="14">
        <v>8195</v>
      </c>
      <c r="G17" s="10">
        <v>0</v>
      </c>
      <c r="H17" s="122">
        <v>8</v>
      </c>
      <c r="I17" s="165">
        <v>-0.72699999999999998</v>
      </c>
      <c r="J17" s="11">
        <v>0.90100000000000002</v>
      </c>
      <c r="K17" s="11">
        <v>5.2999999999999999E-2</v>
      </c>
      <c r="L17" s="79">
        <v>0.19089999999999999</v>
      </c>
      <c r="M17" s="79">
        <v>3.15E-2</v>
      </c>
      <c r="N17" s="79">
        <v>3.4000000000000002E-2</v>
      </c>
      <c r="O17" s="14">
        <v>180</v>
      </c>
      <c r="P17" s="14">
        <v>60</v>
      </c>
      <c r="Q17" s="11">
        <v>1E-3</v>
      </c>
      <c r="R17" s="14">
        <v>3</v>
      </c>
      <c r="S17" s="14">
        <v>1500</v>
      </c>
      <c r="T17" s="11">
        <v>0.1</v>
      </c>
      <c r="U17" s="159">
        <v>269020</v>
      </c>
      <c r="V17" s="22"/>
      <c r="W17" s="99">
        <f t="shared" si="0"/>
        <v>2588</v>
      </c>
      <c r="X17" s="100">
        <f t="shared" si="1"/>
        <v>65.771699999999996</v>
      </c>
      <c r="Y17" s="100">
        <f t="shared" si="2"/>
        <v>23.903099999999998</v>
      </c>
      <c r="Z17" s="22">
        <f t="shared" si="3"/>
        <v>8195</v>
      </c>
      <c r="AA17" s="35">
        <f t="shared" si="4"/>
        <v>0</v>
      </c>
      <c r="AB17" s="22">
        <f t="shared" si="5"/>
        <v>8</v>
      </c>
      <c r="AC17" s="120">
        <f>ROUND(I17+mwreg!$G$9/100,3)</f>
        <v>-0.66800000000000004</v>
      </c>
      <c r="AD17" s="106">
        <f>ROUND(J17+mwreg!$G$9/100,3)</f>
        <v>0.96</v>
      </c>
      <c r="AE17" s="106">
        <f>ROUND(K17+mwreg!$G$9/100,3)</f>
        <v>0.112</v>
      </c>
      <c r="AF17" s="100">
        <f t="shared" si="14"/>
        <v>0.19089999999999999</v>
      </c>
      <c r="AG17" s="100">
        <f t="shared" si="15"/>
        <v>3.15E-2</v>
      </c>
      <c r="AH17" s="100">
        <f t="shared" si="6"/>
        <v>3.4000000000000002E-2</v>
      </c>
      <c r="AI17" s="22">
        <f t="shared" si="7"/>
        <v>180</v>
      </c>
      <c r="AJ17" s="22">
        <f t="shared" si="8"/>
        <v>60</v>
      </c>
      <c r="AK17" s="106">
        <f t="shared" si="9"/>
        <v>1E-3</v>
      </c>
      <c r="AL17" s="22">
        <f t="shared" si="10"/>
        <v>3</v>
      </c>
      <c r="AM17" s="22">
        <f t="shared" si="11"/>
        <v>1500</v>
      </c>
      <c r="AN17" s="106">
        <f t="shared" si="12"/>
        <v>0.1</v>
      </c>
      <c r="AO17" s="184">
        <f t="shared" si="13"/>
        <v>269020</v>
      </c>
    </row>
    <row r="18" spans="1:41" s="1" customFormat="1" x14ac:dyDescent="0.2">
      <c r="A18" s="3" t="s">
        <v>296</v>
      </c>
      <c r="B18" s="3" t="s">
        <v>296</v>
      </c>
      <c r="C18" s="55">
        <v>2588</v>
      </c>
      <c r="D18" s="79">
        <v>65.771699999999996</v>
      </c>
      <c r="E18" s="79">
        <v>23.903099999999998</v>
      </c>
      <c r="F18" s="14">
        <v>8195</v>
      </c>
      <c r="G18" s="10">
        <v>0</v>
      </c>
      <c r="H18" s="122">
        <v>9</v>
      </c>
      <c r="I18" s="165">
        <v>-0.84299999999999997</v>
      </c>
      <c r="J18" s="11">
        <v>1.371</v>
      </c>
      <c r="K18" s="11">
        <v>9.7000000000000003E-2</v>
      </c>
      <c r="L18" s="79">
        <v>0.23499999999999999</v>
      </c>
      <c r="M18" s="79">
        <v>2.2700000000000001E-2</v>
      </c>
      <c r="N18" s="79">
        <v>2.5000000000000001E-2</v>
      </c>
      <c r="O18" s="14">
        <v>180</v>
      </c>
      <c r="P18" s="14">
        <v>60</v>
      </c>
      <c r="Q18" s="11">
        <v>1E-3</v>
      </c>
      <c r="R18" s="14">
        <v>3</v>
      </c>
      <c r="S18" s="14">
        <v>1500</v>
      </c>
      <c r="T18" s="11">
        <v>0.1</v>
      </c>
      <c r="U18" s="159">
        <v>296755</v>
      </c>
      <c r="V18" s="22"/>
      <c r="W18" s="99">
        <f t="shared" si="0"/>
        <v>2588</v>
      </c>
      <c r="X18" s="100">
        <f t="shared" si="1"/>
        <v>65.771699999999996</v>
      </c>
      <c r="Y18" s="100">
        <f t="shared" si="2"/>
        <v>23.903099999999998</v>
      </c>
      <c r="Z18" s="22">
        <f t="shared" si="3"/>
        <v>8195</v>
      </c>
      <c r="AA18" s="35">
        <f t="shared" si="4"/>
        <v>0</v>
      </c>
      <c r="AB18" s="22">
        <f t="shared" si="5"/>
        <v>9</v>
      </c>
      <c r="AC18" s="120">
        <f>ROUND(I18+mwreg!$G$9/100,3)</f>
        <v>-0.78400000000000003</v>
      </c>
      <c r="AD18" s="106">
        <f>ROUND(J18+mwreg!$G$9/100,3)</f>
        <v>1.43</v>
      </c>
      <c r="AE18" s="106">
        <f>ROUND(K18+mwreg!$G$9/100,3)</f>
        <v>0.156</v>
      </c>
      <c r="AF18" s="100">
        <f t="shared" si="14"/>
        <v>0.23499999999999999</v>
      </c>
      <c r="AG18" s="100">
        <f t="shared" si="15"/>
        <v>2.2700000000000001E-2</v>
      </c>
      <c r="AH18" s="100">
        <f t="shared" si="6"/>
        <v>2.5000000000000001E-2</v>
      </c>
      <c r="AI18" s="22">
        <f t="shared" si="7"/>
        <v>180</v>
      </c>
      <c r="AJ18" s="22">
        <f t="shared" si="8"/>
        <v>60</v>
      </c>
      <c r="AK18" s="106">
        <f t="shared" si="9"/>
        <v>1E-3</v>
      </c>
      <c r="AL18" s="22">
        <f t="shared" si="10"/>
        <v>3</v>
      </c>
      <c r="AM18" s="22">
        <f t="shared" si="11"/>
        <v>1500</v>
      </c>
      <c r="AN18" s="106">
        <f t="shared" si="12"/>
        <v>0.1</v>
      </c>
      <c r="AO18" s="184">
        <f t="shared" si="13"/>
        <v>296755</v>
      </c>
    </row>
    <row r="19" spans="1:41" s="1" customFormat="1" x14ac:dyDescent="0.2">
      <c r="A19" s="3" t="s">
        <v>296</v>
      </c>
      <c r="B19" s="3" t="s">
        <v>296</v>
      </c>
      <c r="C19" s="55">
        <v>2588</v>
      </c>
      <c r="D19" s="79">
        <v>65.771699999999996</v>
      </c>
      <c r="E19" s="79">
        <v>23.903099999999998</v>
      </c>
      <c r="F19" s="14">
        <v>8195</v>
      </c>
      <c r="G19" s="10">
        <v>0</v>
      </c>
      <c r="H19" s="122">
        <v>10</v>
      </c>
      <c r="I19" s="165">
        <v>-1.0029999999999999</v>
      </c>
      <c r="J19" s="11">
        <v>1.3320000000000001</v>
      </c>
      <c r="K19" s="11">
        <v>4.1000000000000002E-2</v>
      </c>
      <c r="L19" s="79">
        <v>0.31</v>
      </c>
      <c r="M19" s="79">
        <v>1.9599999999999999E-2</v>
      </c>
      <c r="N19" s="79">
        <v>2.1999999999999999E-2</v>
      </c>
      <c r="O19" s="14">
        <v>180</v>
      </c>
      <c r="P19" s="14">
        <v>60</v>
      </c>
      <c r="Q19" s="11">
        <v>1E-3</v>
      </c>
      <c r="R19" s="14">
        <v>3</v>
      </c>
      <c r="S19" s="14">
        <v>1500</v>
      </c>
      <c r="T19" s="11">
        <v>0.1</v>
      </c>
      <c r="U19" s="159">
        <v>323456</v>
      </c>
      <c r="V19" s="22"/>
      <c r="W19" s="99">
        <f t="shared" si="0"/>
        <v>2588</v>
      </c>
      <c r="X19" s="100">
        <f t="shared" si="1"/>
        <v>65.771699999999996</v>
      </c>
      <c r="Y19" s="100">
        <f t="shared" si="2"/>
        <v>23.903099999999998</v>
      </c>
      <c r="Z19" s="22">
        <f t="shared" si="3"/>
        <v>8195</v>
      </c>
      <c r="AA19" s="35">
        <f t="shared" si="4"/>
        <v>0</v>
      </c>
      <c r="AB19" s="22">
        <f t="shared" si="5"/>
        <v>10</v>
      </c>
      <c r="AC19" s="120">
        <f>ROUND(I19+mwreg!$G$9/100,3)</f>
        <v>-0.94399999999999995</v>
      </c>
      <c r="AD19" s="106">
        <f>ROUND(J19+mwreg!$G$9/100,3)</f>
        <v>1.391</v>
      </c>
      <c r="AE19" s="106">
        <f>ROUND(K19+mwreg!$G$9/100,3)</f>
        <v>0.1</v>
      </c>
      <c r="AF19" s="100">
        <f t="shared" si="14"/>
        <v>0.31</v>
      </c>
      <c r="AG19" s="100">
        <f t="shared" si="15"/>
        <v>1.9599999999999999E-2</v>
      </c>
      <c r="AH19" s="100">
        <f t="shared" si="6"/>
        <v>2.1999999999999999E-2</v>
      </c>
      <c r="AI19" s="22">
        <f t="shared" si="7"/>
        <v>180</v>
      </c>
      <c r="AJ19" s="22">
        <f t="shared" si="8"/>
        <v>60</v>
      </c>
      <c r="AK19" s="106">
        <f t="shared" si="9"/>
        <v>1E-3</v>
      </c>
      <c r="AL19" s="22">
        <f t="shared" si="10"/>
        <v>3</v>
      </c>
      <c r="AM19" s="22">
        <f t="shared" si="11"/>
        <v>1500</v>
      </c>
      <c r="AN19" s="106">
        <f t="shared" si="12"/>
        <v>0.1</v>
      </c>
      <c r="AO19" s="184">
        <f t="shared" si="13"/>
        <v>323456</v>
      </c>
    </row>
    <row r="20" spans="1:41" s="1" customFormat="1" x14ac:dyDescent="0.2">
      <c r="A20" s="3" t="s">
        <v>296</v>
      </c>
      <c r="B20" s="3" t="s">
        <v>296</v>
      </c>
      <c r="C20" s="55">
        <v>2588</v>
      </c>
      <c r="D20" s="79">
        <v>65.771699999999996</v>
      </c>
      <c r="E20" s="79">
        <v>23.903099999999998</v>
      </c>
      <c r="F20" s="14">
        <v>8195</v>
      </c>
      <c r="G20" s="10">
        <v>0</v>
      </c>
      <c r="H20" s="122">
        <v>11</v>
      </c>
      <c r="I20" s="165">
        <v>-1.071</v>
      </c>
      <c r="J20" s="11">
        <v>1.4610000000000001</v>
      </c>
      <c r="K20" s="11">
        <v>0.11700000000000001</v>
      </c>
      <c r="L20" s="79">
        <v>0.35039999999999999</v>
      </c>
      <c r="M20" s="79">
        <v>0.251</v>
      </c>
      <c r="N20" s="79">
        <v>0.254</v>
      </c>
      <c r="O20" s="14">
        <v>180</v>
      </c>
      <c r="P20" s="14">
        <v>60</v>
      </c>
      <c r="Q20" s="11">
        <v>1E-3</v>
      </c>
      <c r="R20" s="14">
        <v>3</v>
      </c>
      <c r="S20" s="14">
        <v>1500</v>
      </c>
      <c r="T20" s="11">
        <v>0.1</v>
      </c>
      <c r="U20" s="159">
        <v>318055</v>
      </c>
      <c r="V20" s="22"/>
      <c r="W20" s="99">
        <f t="shared" si="0"/>
        <v>2588</v>
      </c>
      <c r="X20" s="100">
        <f t="shared" si="1"/>
        <v>65.771699999999996</v>
      </c>
      <c r="Y20" s="100">
        <f t="shared" si="2"/>
        <v>23.903099999999998</v>
      </c>
      <c r="Z20" s="22">
        <f t="shared" si="3"/>
        <v>8195</v>
      </c>
      <c r="AA20" s="35">
        <f t="shared" si="4"/>
        <v>0</v>
      </c>
      <c r="AB20" s="22">
        <f t="shared" si="5"/>
        <v>11</v>
      </c>
      <c r="AC20" s="120">
        <f>ROUND(I20+mwreg!$G$9/100,3)</f>
        <v>-1.012</v>
      </c>
      <c r="AD20" s="106">
        <f>ROUND(J20+mwreg!$G$9/100,3)</f>
        <v>1.52</v>
      </c>
      <c r="AE20" s="106">
        <f>ROUND(K20+mwreg!$G$9/100,3)</f>
        <v>0.17599999999999999</v>
      </c>
      <c r="AF20" s="100">
        <f t="shared" si="14"/>
        <v>0.35039999999999999</v>
      </c>
      <c r="AG20" s="100">
        <f t="shared" si="15"/>
        <v>0.251</v>
      </c>
      <c r="AH20" s="100">
        <f t="shared" si="6"/>
        <v>0.254</v>
      </c>
      <c r="AI20" s="22">
        <f t="shared" si="7"/>
        <v>180</v>
      </c>
      <c r="AJ20" s="22">
        <f t="shared" si="8"/>
        <v>60</v>
      </c>
      <c r="AK20" s="106">
        <f t="shared" si="9"/>
        <v>1E-3</v>
      </c>
      <c r="AL20" s="22">
        <f t="shared" si="10"/>
        <v>3</v>
      </c>
      <c r="AM20" s="22">
        <f t="shared" si="11"/>
        <v>1500</v>
      </c>
      <c r="AN20" s="106">
        <f t="shared" si="12"/>
        <v>0.1</v>
      </c>
      <c r="AO20" s="184">
        <f t="shared" si="13"/>
        <v>318055</v>
      </c>
    </row>
    <row r="21" spans="1:41" s="1" customFormat="1" x14ac:dyDescent="0.2">
      <c r="A21" s="3" t="s">
        <v>296</v>
      </c>
      <c r="B21" s="3" t="s">
        <v>296</v>
      </c>
      <c r="C21" s="55">
        <v>2588</v>
      </c>
      <c r="D21" s="79">
        <v>65.771699999999996</v>
      </c>
      <c r="E21" s="79">
        <v>23.903099999999998</v>
      </c>
      <c r="F21" s="14">
        <v>8195</v>
      </c>
      <c r="G21" s="10">
        <v>0</v>
      </c>
      <c r="H21" s="122">
        <v>12</v>
      </c>
      <c r="I21" s="165">
        <v>-0.99299999999999999</v>
      </c>
      <c r="J21" s="11">
        <v>1.484</v>
      </c>
      <c r="K21" s="11">
        <v>0.26200000000000001</v>
      </c>
      <c r="L21" s="79">
        <v>0.33689999999999998</v>
      </c>
      <c r="M21" s="79">
        <v>0.12709999999999999</v>
      </c>
      <c r="N21" s="79">
        <v>0.13</v>
      </c>
      <c r="O21" s="14">
        <v>180</v>
      </c>
      <c r="P21" s="14">
        <v>60</v>
      </c>
      <c r="Q21" s="11">
        <v>1E-3</v>
      </c>
      <c r="R21" s="14">
        <v>3</v>
      </c>
      <c r="S21" s="14">
        <v>1500</v>
      </c>
      <c r="T21" s="11">
        <v>0.1</v>
      </c>
      <c r="U21" s="159">
        <v>260382</v>
      </c>
      <c r="V21" s="22"/>
      <c r="W21" s="99">
        <f t="shared" si="0"/>
        <v>2588</v>
      </c>
      <c r="X21" s="100">
        <f t="shared" si="1"/>
        <v>65.771699999999996</v>
      </c>
      <c r="Y21" s="100">
        <f t="shared" si="2"/>
        <v>23.903099999999998</v>
      </c>
      <c r="Z21" s="22">
        <f t="shared" si="3"/>
        <v>8195</v>
      </c>
      <c r="AA21" s="35">
        <f t="shared" si="4"/>
        <v>0</v>
      </c>
      <c r="AB21" s="22">
        <f t="shared" si="5"/>
        <v>12</v>
      </c>
      <c r="AC21" s="120">
        <f>ROUND(I21+mwreg!$G$9/100,3)</f>
        <v>-0.93400000000000005</v>
      </c>
      <c r="AD21" s="106">
        <f>ROUND(J21+mwreg!$G$9/100,3)</f>
        <v>1.5429999999999999</v>
      </c>
      <c r="AE21" s="106">
        <f>ROUND(K21+mwreg!$G$9/100,3)</f>
        <v>0.32100000000000001</v>
      </c>
      <c r="AF21" s="100">
        <f t="shared" si="14"/>
        <v>0.33689999999999998</v>
      </c>
      <c r="AG21" s="100">
        <f t="shared" si="15"/>
        <v>0.12709999999999999</v>
      </c>
      <c r="AH21" s="100">
        <f t="shared" si="6"/>
        <v>0.13</v>
      </c>
      <c r="AI21" s="22">
        <f t="shared" si="7"/>
        <v>180</v>
      </c>
      <c r="AJ21" s="22">
        <f t="shared" si="8"/>
        <v>60</v>
      </c>
      <c r="AK21" s="106">
        <f t="shared" si="9"/>
        <v>1E-3</v>
      </c>
      <c r="AL21" s="22">
        <f t="shared" si="10"/>
        <v>3</v>
      </c>
      <c r="AM21" s="22">
        <f t="shared" si="11"/>
        <v>1500</v>
      </c>
      <c r="AN21" s="106">
        <f t="shared" si="12"/>
        <v>0.1</v>
      </c>
      <c r="AO21" s="184">
        <f t="shared" si="13"/>
        <v>260382</v>
      </c>
    </row>
    <row r="22" spans="1:41" s="1" customFormat="1" x14ac:dyDescent="0.2">
      <c r="A22" s="3" t="str">
        <f>stat_uppg!A10</f>
        <v>59/35103</v>
      </c>
      <c r="B22" s="3" t="str">
        <f>stat_uppg!B10</f>
        <v>KALIX KARLSBORG (SJÖV)</v>
      </c>
      <c r="C22" s="52">
        <v>35103</v>
      </c>
      <c r="D22" s="178">
        <v>65.788799999999995</v>
      </c>
      <c r="E22" s="178">
        <v>23.3033</v>
      </c>
      <c r="F22" s="20">
        <v>8195</v>
      </c>
      <c r="G22" s="116">
        <v>0</v>
      </c>
      <c r="H22" s="51">
        <v>1</v>
      </c>
      <c r="I22" s="166">
        <f t="shared" ref="I22:K33" si="16">ROUND(I34,3)</f>
        <v>-1.2130000000000001</v>
      </c>
      <c r="J22" s="98">
        <f t="shared" si="16"/>
        <v>1.7649999999999999</v>
      </c>
      <c r="K22" s="98">
        <f t="shared" si="16"/>
        <v>0.24399999999999999</v>
      </c>
      <c r="L22" s="138">
        <f>ROUND(L34,4)</f>
        <v>0.3649</v>
      </c>
      <c r="M22" s="138">
        <f t="shared" ref="M22:N22" si="17">ROUND(M34,4)</f>
        <v>8.3000000000000001E-3</v>
      </c>
      <c r="N22" s="138">
        <f t="shared" si="17"/>
        <v>8.9999999999999993E-3</v>
      </c>
      <c r="O22" s="40">
        <f>ROUND(O34,0)</f>
        <v>180</v>
      </c>
      <c r="P22" s="40">
        <f>ROUND(P34,0)</f>
        <v>60</v>
      </c>
      <c r="Q22" s="98">
        <f>ROUND(Q34,3)</f>
        <v>1E-3</v>
      </c>
      <c r="R22" s="40">
        <f>ROUND(R34,0)</f>
        <v>3</v>
      </c>
      <c r="S22" s="40">
        <f>ROUND(S34,0)</f>
        <v>1500</v>
      </c>
      <c r="T22" s="98">
        <f>ROUND(T34,3)</f>
        <v>0.1</v>
      </c>
      <c r="U22" s="51" t="s">
        <v>282</v>
      </c>
      <c r="V22" s="21"/>
      <c r="W22" s="58">
        <f t="shared" si="0"/>
        <v>35103</v>
      </c>
      <c r="X22" s="102">
        <f t="shared" si="1"/>
        <v>65.788799999999995</v>
      </c>
      <c r="Y22" s="102">
        <f t="shared" si="2"/>
        <v>23.3033</v>
      </c>
      <c r="Z22" s="21">
        <f t="shared" si="3"/>
        <v>8195</v>
      </c>
      <c r="AA22" s="44">
        <f t="shared" si="4"/>
        <v>0</v>
      </c>
      <c r="AB22" s="21">
        <f t="shared" si="5"/>
        <v>1</v>
      </c>
      <c r="AC22" s="121">
        <f>ROUND(I22+mwreg!$G$10/100,3)</f>
        <v>-1.1519999999999999</v>
      </c>
      <c r="AD22" s="101">
        <f>ROUND(J22+mwreg!$G$10/100,3)</f>
        <v>1.8260000000000001</v>
      </c>
      <c r="AE22" s="101">
        <f>ROUND(K22+mwreg!$G$10/100,3)</f>
        <v>0.30499999999999999</v>
      </c>
      <c r="AF22" s="102">
        <f t="shared" si="14"/>
        <v>0.3649</v>
      </c>
      <c r="AG22" s="102">
        <f t="shared" si="15"/>
        <v>8.3000000000000001E-3</v>
      </c>
      <c r="AH22" s="102">
        <f t="shared" si="6"/>
        <v>8.9999999999999993E-3</v>
      </c>
      <c r="AI22" s="21">
        <f t="shared" si="7"/>
        <v>180</v>
      </c>
      <c r="AJ22" s="21">
        <f t="shared" si="8"/>
        <v>60</v>
      </c>
      <c r="AK22" s="101">
        <f t="shared" si="9"/>
        <v>1E-3</v>
      </c>
      <c r="AL22" s="21">
        <f t="shared" si="10"/>
        <v>3</v>
      </c>
      <c r="AM22" s="21">
        <f t="shared" si="11"/>
        <v>1500</v>
      </c>
      <c r="AN22" s="101">
        <f t="shared" si="12"/>
        <v>0.1</v>
      </c>
      <c r="AO22" s="185" t="str">
        <f t="shared" si="13"/>
        <v>NaN</v>
      </c>
    </row>
    <row r="23" spans="1:41" s="1" customFormat="1" x14ac:dyDescent="0.2">
      <c r="A23" s="3" t="s">
        <v>296</v>
      </c>
      <c r="B23" s="3" t="s">
        <v>296</v>
      </c>
      <c r="C23" s="52">
        <v>35103</v>
      </c>
      <c r="D23" s="178">
        <v>65.788799999999995</v>
      </c>
      <c r="E23" s="178">
        <v>23.3033</v>
      </c>
      <c r="F23" s="20">
        <v>8195</v>
      </c>
      <c r="G23" s="116">
        <v>0</v>
      </c>
      <c r="H23" s="51">
        <v>2</v>
      </c>
      <c r="I23" s="166">
        <f t="shared" si="16"/>
        <v>-0.85399999999999998</v>
      </c>
      <c r="J23" s="98">
        <f t="shared" si="16"/>
        <v>1.4370000000000001</v>
      </c>
      <c r="K23" s="98">
        <f t="shared" si="16"/>
        <v>0.183</v>
      </c>
      <c r="L23" s="138">
        <f t="shared" ref="L23:N33" si="18">ROUND(L35,4)</f>
        <v>0.3926</v>
      </c>
      <c r="M23" s="138">
        <f t="shared" si="18"/>
        <v>3.5000000000000001E-3</v>
      </c>
      <c r="N23" s="138">
        <f t="shared" si="18"/>
        <v>4.1999999999999997E-3</v>
      </c>
      <c r="O23" s="40">
        <f t="shared" ref="O23:P23" si="19">ROUND(O35,0)</f>
        <v>180</v>
      </c>
      <c r="P23" s="40">
        <f t="shared" si="19"/>
        <v>60</v>
      </c>
      <c r="Q23" s="98">
        <f t="shared" ref="Q23:Q33" si="20">ROUND(Q35,3)</f>
        <v>1E-3</v>
      </c>
      <c r="R23" s="40">
        <f t="shared" ref="R23:S23" si="21">ROUND(R35,0)</f>
        <v>3</v>
      </c>
      <c r="S23" s="40">
        <f t="shared" si="21"/>
        <v>1500</v>
      </c>
      <c r="T23" s="98">
        <f t="shared" ref="T23:T33" si="22">ROUND(T35,3)</f>
        <v>0.1</v>
      </c>
      <c r="U23" s="51" t="s">
        <v>282</v>
      </c>
      <c r="V23" s="21"/>
      <c r="W23" s="58">
        <f t="shared" si="0"/>
        <v>35103</v>
      </c>
      <c r="X23" s="102">
        <f t="shared" si="1"/>
        <v>65.788799999999995</v>
      </c>
      <c r="Y23" s="102">
        <f t="shared" si="2"/>
        <v>23.3033</v>
      </c>
      <c r="Z23" s="21">
        <f t="shared" si="3"/>
        <v>8195</v>
      </c>
      <c r="AA23" s="44">
        <f t="shared" si="4"/>
        <v>0</v>
      </c>
      <c r="AB23" s="21">
        <f t="shared" si="5"/>
        <v>2</v>
      </c>
      <c r="AC23" s="121">
        <f>ROUND(I23+mwreg!$G$10/100,3)</f>
        <v>-0.79300000000000004</v>
      </c>
      <c r="AD23" s="101">
        <f>ROUND(J23+mwreg!$G$10/100,3)</f>
        <v>1.498</v>
      </c>
      <c r="AE23" s="101">
        <f>ROUND(K23+mwreg!$G$10/100,3)</f>
        <v>0.24399999999999999</v>
      </c>
      <c r="AF23" s="102">
        <f t="shared" si="14"/>
        <v>0.3926</v>
      </c>
      <c r="AG23" s="102">
        <f t="shared" si="15"/>
        <v>3.5000000000000001E-3</v>
      </c>
      <c r="AH23" s="102">
        <f t="shared" si="6"/>
        <v>4.1999999999999997E-3</v>
      </c>
      <c r="AI23" s="21">
        <f t="shared" si="7"/>
        <v>180</v>
      </c>
      <c r="AJ23" s="21">
        <f t="shared" si="8"/>
        <v>60</v>
      </c>
      <c r="AK23" s="101">
        <f t="shared" si="9"/>
        <v>1E-3</v>
      </c>
      <c r="AL23" s="21">
        <f t="shared" si="10"/>
        <v>3</v>
      </c>
      <c r="AM23" s="21">
        <f t="shared" si="11"/>
        <v>1500</v>
      </c>
      <c r="AN23" s="101">
        <f t="shared" si="12"/>
        <v>0.1</v>
      </c>
      <c r="AO23" s="185" t="str">
        <f t="shared" si="13"/>
        <v>NaN</v>
      </c>
    </row>
    <row r="24" spans="1:41" s="1" customFormat="1" x14ac:dyDescent="0.2">
      <c r="A24" s="3" t="s">
        <v>296</v>
      </c>
      <c r="B24" s="3" t="s">
        <v>296</v>
      </c>
      <c r="C24" s="52">
        <v>35103</v>
      </c>
      <c r="D24" s="178">
        <v>65.788799999999995</v>
      </c>
      <c r="E24" s="178">
        <v>23.3033</v>
      </c>
      <c r="F24" s="20">
        <v>8195</v>
      </c>
      <c r="G24" s="116">
        <v>0</v>
      </c>
      <c r="H24" s="51">
        <v>3</v>
      </c>
      <c r="I24" s="166">
        <f t="shared" si="16"/>
        <v>-0.90400000000000003</v>
      </c>
      <c r="J24" s="98">
        <f t="shared" si="16"/>
        <v>1.2689999999999999</v>
      </c>
      <c r="K24" s="98">
        <f t="shared" si="16"/>
        <v>8.8999999999999996E-2</v>
      </c>
      <c r="L24" s="138">
        <f t="shared" si="18"/>
        <v>0.31330000000000002</v>
      </c>
      <c r="M24" s="138">
        <f t="shared" si="18"/>
        <v>6.7000000000000002E-3</v>
      </c>
      <c r="N24" s="138">
        <f t="shared" si="18"/>
        <v>7.3000000000000001E-3</v>
      </c>
      <c r="O24" s="40">
        <f t="shared" ref="O24:P24" si="23">ROUND(O36,0)</f>
        <v>180</v>
      </c>
      <c r="P24" s="40">
        <f t="shared" si="23"/>
        <v>60</v>
      </c>
      <c r="Q24" s="98">
        <f t="shared" si="20"/>
        <v>1E-3</v>
      </c>
      <c r="R24" s="40">
        <f t="shared" ref="R24:S24" si="24">ROUND(R36,0)</f>
        <v>3</v>
      </c>
      <c r="S24" s="40">
        <f t="shared" si="24"/>
        <v>1500</v>
      </c>
      <c r="T24" s="98">
        <f t="shared" si="22"/>
        <v>0.1</v>
      </c>
      <c r="U24" s="51" t="s">
        <v>282</v>
      </c>
      <c r="V24" s="21"/>
      <c r="W24" s="58">
        <f t="shared" si="0"/>
        <v>35103</v>
      </c>
      <c r="X24" s="102">
        <f t="shared" si="1"/>
        <v>65.788799999999995</v>
      </c>
      <c r="Y24" s="102">
        <f t="shared" si="2"/>
        <v>23.3033</v>
      </c>
      <c r="Z24" s="21">
        <f t="shared" si="3"/>
        <v>8195</v>
      </c>
      <c r="AA24" s="44">
        <f t="shared" si="4"/>
        <v>0</v>
      </c>
      <c r="AB24" s="21">
        <f t="shared" si="5"/>
        <v>3</v>
      </c>
      <c r="AC24" s="121">
        <f>ROUND(I24+mwreg!$G$10/100,3)</f>
        <v>-0.84299999999999997</v>
      </c>
      <c r="AD24" s="101">
        <f>ROUND(J24+mwreg!$G$10/100,3)</f>
        <v>1.33</v>
      </c>
      <c r="AE24" s="101">
        <f>ROUND(K24+mwreg!$G$10/100,3)</f>
        <v>0.15</v>
      </c>
      <c r="AF24" s="102">
        <f t="shared" si="14"/>
        <v>0.31330000000000002</v>
      </c>
      <c r="AG24" s="102">
        <f t="shared" si="15"/>
        <v>6.7000000000000002E-3</v>
      </c>
      <c r="AH24" s="102">
        <f t="shared" si="6"/>
        <v>7.3000000000000001E-3</v>
      </c>
      <c r="AI24" s="21">
        <f t="shared" si="7"/>
        <v>180</v>
      </c>
      <c r="AJ24" s="21">
        <f t="shared" si="8"/>
        <v>60</v>
      </c>
      <c r="AK24" s="101">
        <f t="shared" si="9"/>
        <v>1E-3</v>
      </c>
      <c r="AL24" s="21">
        <f t="shared" si="10"/>
        <v>3</v>
      </c>
      <c r="AM24" s="21">
        <f t="shared" si="11"/>
        <v>1500</v>
      </c>
      <c r="AN24" s="101">
        <f t="shared" si="12"/>
        <v>0.1</v>
      </c>
      <c r="AO24" s="185" t="str">
        <f t="shared" si="13"/>
        <v>NaN</v>
      </c>
    </row>
    <row r="25" spans="1:41" s="1" customFormat="1" x14ac:dyDescent="0.2">
      <c r="A25" s="3" t="s">
        <v>296</v>
      </c>
      <c r="B25" s="3" t="s">
        <v>296</v>
      </c>
      <c r="C25" s="52">
        <v>35103</v>
      </c>
      <c r="D25" s="178">
        <v>65.788799999999995</v>
      </c>
      <c r="E25" s="178">
        <v>23.3033</v>
      </c>
      <c r="F25" s="20">
        <v>8195</v>
      </c>
      <c r="G25" s="116">
        <v>0</v>
      </c>
      <c r="H25" s="51">
        <v>4</v>
      </c>
      <c r="I25" s="166">
        <f t="shared" si="16"/>
        <v>-1.1739999999999999</v>
      </c>
      <c r="J25" s="98">
        <f t="shared" si="16"/>
        <v>0.86499999999999999</v>
      </c>
      <c r="K25" s="98">
        <f t="shared" si="16"/>
        <v>-0.1</v>
      </c>
      <c r="L25" s="138">
        <f t="shared" si="18"/>
        <v>0.24249999999999999</v>
      </c>
      <c r="M25" s="138">
        <f t="shared" si="18"/>
        <v>5.4000000000000003E-3</v>
      </c>
      <c r="N25" s="138">
        <f t="shared" si="18"/>
        <v>6.0000000000000001E-3</v>
      </c>
      <c r="O25" s="40">
        <f t="shared" ref="O25:P25" si="25">ROUND(O37,0)</f>
        <v>180</v>
      </c>
      <c r="P25" s="40">
        <f t="shared" si="25"/>
        <v>60</v>
      </c>
      <c r="Q25" s="98">
        <f t="shared" si="20"/>
        <v>1E-3</v>
      </c>
      <c r="R25" s="40">
        <f t="shared" ref="R25:S25" si="26">ROUND(R37,0)</f>
        <v>3</v>
      </c>
      <c r="S25" s="40">
        <f t="shared" si="26"/>
        <v>1500</v>
      </c>
      <c r="T25" s="98">
        <f t="shared" si="22"/>
        <v>0.1</v>
      </c>
      <c r="U25" s="51" t="s">
        <v>282</v>
      </c>
      <c r="V25" s="21"/>
      <c r="W25" s="58">
        <f t="shared" si="0"/>
        <v>35103</v>
      </c>
      <c r="X25" s="102">
        <f t="shared" si="1"/>
        <v>65.788799999999995</v>
      </c>
      <c r="Y25" s="102">
        <f t="shared" si="2"/>
        <v>23.3033</v>
      </c>
      <c r="Z25" s="21">
        <f t="shared" si="3"/>
        <v>8195</v>
      </c>
      <c r="AA25" s="44">
        <f t="shared" si="4"/>
        <v>0</v>
      </c>
      <c r="AB25" s="21">
        <f t="shared" si="5"/>
        <v>4</v>
      </c>
      <c r="AC25" s="121">
        <f>ROUND(I25+mwreg!$G$10/100,3)</f>
        <v>-1.113</v>
      </c>
      <c r="AD25" s="101">
        <f>ROUND(J25+mwreg!$G$10/100,3)</f>
        <v>0.92600000000000005</v>
      </c>
      <c r="AE25" s="101">
        <f>ROUND(K25+mwreg!$G$10/100,3)</f>
        <v>-3.9E-2</v>
      </c>
      <c r="AF25" s="102">
        <f t="shared" si="14"/>
        <v>0.24249999999999999</v>
      </c>
      <c r="AG25" s="102">
        <f t="shared" si="15"/>
        <v>5.4000000000000003E-3</v>
      </c>
      <c r="AH25" s="102">
        <f t="shared" si="6"/>
        <v>6.0000000000000001E-3</v>
      </c>
      <c r="AI25" s="21">
        <f t="shared" si="7"/>
        <v>180</v>
      </c>
      <c r="AJ25" s="21">
        <f t="shared" si="8"/>
        <v>60</v>
      </c>
      <c r="AK25" s="101">
        <f t="shared" si="9"/>
        <v>1E-3</v>
      </c>
      <c r="AL25" s="21">
        <f t="shared" si="10"/>
        <v>3</v>
      </c>
      <c r="AM25" s="21">
        <f t="shared" si="11"/>
        <v>1500</v>
      </c>
      <c r="AN25" s="101">
        <f t="shared" si="12"/>
        <v>0.1</v>
      </c>
      <c r="AO25" s="185" t="str">
        <f t="shared" si="13"/>
        <v>NaN</v>
      </c>
    </row>
    <row r="26" spans="1:41" s="1" customFormat="1" x14ac:dyDescent="0.2">
      <c r="A26" s="3" t="s">
        <v>296</v>
      </c>
      <c r="B26" s="3" t="s">
        <v>296</v>
      </c>
      <c r="C26" s="52">
        <v>35103</v>
      </c>
      <c r="D26" s="178">
        <v>65.788799999999995</v>
      </c>
      <c r="E26" s="178">
        <v>23.3033</v>
      </c>
      <c r="F26" s="20">
        <v>8195</v>
      </c>
      <c r="G26" s="116">
        <v>0</v>
      </c>
      <c r="H26" s="51">
        <v>5</v>
      </c>
      <c r="I26" s="166">
        <f t="shared" si="16"/>
        <v>-0.92900000000000005</v>
      </c>
      <c r="J26" s="98">
        <f t="shared" si="16"/>
        <v>0.89500000000000002</v>
      </c>
      <c r="K26" s="98">
        <f t="shared" si="16"/>
        <v>-5.5E-2</v>
      </c>
      <c r="L26" s="138">
        <f t="shared" si="18"/>
        <v>0.20030000000000001</v>
      </c>
      <c r="M26" s="138">
        <f t="shared" si="18"/>
        <v>7.3000000000000001E-3</v>
      </c>
      <c r="N26" s="138">
        <f t="shared" si="18"/>
        <v>8.0000000000000002E-3</v>
      </c>
      <c r="O26" s="40">
        <f t="shared" ref="O26:P26" si="27">ROUND(O38,0)</f>
        <v>180</v>
      </c>
      <c r="P26" s="40">
        <f t="shared" si="27"/>
        <v>60</v>
      </c>
      <c r="Q26" s="98">
        <f t="shared" si="20"/>
        <v>1E-3</v>
      </c>
      <c r="R26" s="40">
        <f t="shared" ref="R26:S26" si="28">ROUND(R38,0)</f>
        <v>3</v>
      </c>
      <c r="S26" s="40">
        <f t="shared" si="28"/>
        <v>1500</v>
      </c>
      <c r="T26" s="98">
        <f t="shared" si="22"/>
        <v>0.1</v>
      </c>
      <c r="U26" s="51" t="s">
        <v>282</v>
      </c>
      <c r="V26" s="21"/>
      <c r="W26" s="58">
        <f t="shared" si="0"/>
        <v>35103</v>
      </c>
      <c r="X26" s="102">
        <f t="shared" si="1"/>
        <v>65.788799999999995</v>
      </c>
      <c r="Y26" s="102">
        <f t="shared" si="2"/>
        <v>23.3033</v>
      </c>
      <c r="Z26" s="21">
        <f t="shared" si="3"/>
        <v>8195</v>
      </c>
      <c r="AA26" s="44">
        <f t="shared" si="4"/>
        <v>0</v>
      </c>
      <c r="AB26" s="21">
        <f t="shared" si="5"/>
        <v>5</v>
      </c>
      <c r="AC26" s="121">
        <f>ROUND(I26+mwreg!$G$10/100,3)</f>
        <v>-0.86799999999999999</v>
      </c>
      <c r="AD26" s="101">
        <f>ROUND(J26+mwreg!$G$10/100,3)</f>
        <v>0.95599999999999996</v>
      </c>
      <c r="AE26" s="101">
        <f>ROUND(K26+mwreg!$G$10/100,3)</f>
        <v>6.0000000000000001E-3</v>
      </c>
      <c r="AF26" s="102">
        <f t="shared" si="14"/>
        <v>0.20030000000000001</v>
      </c>
      <c r="AG26" s="102">
        <f t="shared" si="15"/>
        <v>7.3000000000000001E-3</v>
      </c>
      <c r="AH26" s="102">
        <f t="shared" si="6"/>
        <v>8.0000000000000002E-3</v>
      </c>
      <c r="AI26" s="21">
        <f t="shared" si="7"/>
        <v>180</v>
      </c>
      <c r="AJ26" s="21">
        <f t="shared" si="8"/>
        <v>60</v>
      </c>
      <c r="AK26" s="101">
        <f t="shared" si="9"/>
        <v>1E-3</v>
      </c>
      <c r="AL26" s="21">
        <f t="shared" si="10"/>
        <v>3</v>
      </c>
      <c r="AM26" s="21">
        <f t="shared" si="11"/>
        <v>1500</v>
      </c>
      <c r="AN26" s="101">
        <f t="shared" si="12"/>
        <v>0.1</v>
      </c>
      <c r="AO26" s="185" t="str">
        <f t="shared" si="13"/>
        <v>NaN</v>
      </c>
    </row>
    <row r="27" spans="1:41" s="1" customFormat="1" x14ac:dyDescent="0.2">
      <c r="A27" s="3" t="s">
        <v>296</v>
      </c>
      <c r="B27" s="3" t="s">
        <v>296</v>
      </c>
      <c r="C27" s="52">
        <v>35103</v>
      </c>
      <c r="D27" s="178">
        <v>65.788799999999995</v>
      </c>
      <c r="E27" s="178">
        <v>23.3033</v>
      </c>
      <c r="F27" s="20">
        <v>8195</v>
      </c>
      <c r="G27" s="116">
        <v>0</v>
      </c>
      <c r="H27" s="51">
        <v>6</v>
      </c>
      <c r="I27" s="166">
        <f t="shared" si="16"/>
        <v>-0.66900000000000004</v>
      </c>
      <c r="J27" s="98">
        <f t="shared" si="16"/>
        <v>0.73099999999999998</v>
      </c>
      <c r="K27" s="98">
        <f t="shared" si="16"/>
        <v>-4.8000000000000001E-2</v>
      </c>
      <c r="L27" s="138">
        <f t="shared" si="18"/>
        <v>0.16930000000000001</v>
      </c>
      <c r="M27" s="138">
        <f t="shared" si="18"/>
        <v>5.8999999999999999E-3</v>
      </c>
      <c r="N27" s="138">
        <f t="shared" si="18"/>
        <v>6.4999999999999997E-3</v>
      </c>
      <c r="O27" s="40">
        <f t="shared" ref="O27:P27" si="29">ROUND(O39,0)</f>
        <v>180</v>
      </c>
      <c r="P27" s="40">
        <f t="shared" si="29"/>
        <v>60</v>
      </c>
      <c r="Q27" s="98">
        <f t="shared" si="20"/>
        <v>1E-3</v>
      </c>
      <c r="R27" s="40">
        <f t="shared" ref="R27:S27" si="30">ROUND(R39,0)</f>
        <v>3</v>
      </c>
      <c r="S27" s="40">
        <f t="shared" si="30"/>
        <v>1500</v>
      </c>
      <c r="T27" s="98">
        <f t="shared" si="22"/>
        <v>0.1</v>
      </c>
      <c r="U27" s="51" t="s">
        <v>282</v>
      </c>
      <c r="V27" s="21"/>
      <c r="W27" s="58">
        <f t="shared" si="0"/>
        <v>35103</v>
      </c>
      <c r="X27" s="102">
        <f t="shared" si="1"/>
        <v>65.788799999999995</v>
      </c>
      <c r="Y27" s="102">
        <f t="shared" si="2"/>
        <v>23.3033</v>
      </c>
      <c r="Z27" s="21">
        <f t="shared" si="3"/>
        <v>8195</v>
      </c>
      <c r="AA27" s="44">
        <f t="shared" si="4"/>
        <v>0</v>
      </c>
      <c r="AB27" s="21">
        <f t="shared" si="5"/>
        <v>6</v>
      </c>
      <c r="AC27" s="121">
        <f>ROUND(I27+mwreg!$G$10/100,3)</f>
        <v>-0.60799999999999998</v>
      </c>
      <c r="AD27" s="101">
        <f>ROUND(J27+mwreg!$G$10/100,3)</f>
        <v>0.79200000000000004</v>
      </c>
      <c r="AE27" s="101">
        <f>ROUND(K27+mwreg!$G$10/100,3)</f>
        <v>1.2999999999999999E-2</v>
      </c>
      <c r="AF27" s="102">
        <f t="shared" si="14"/>
        <v>0.16930000000000001</v>
      </c>
      <c r="AG27" s="102">
        <f t="shared" si="15"/>
        <v>5.8999999999999999E-3</v>
      </c>
      <c r="AH27" s="102">
        <f t="shared" si="6"/>
        <v>6.4999999999999997E-3</v>
      </c>
      <c r="AI27" s="21">
        <f t="shared" si="7"/>
        <v>180</v>
      </c>
      <c r="AJ27" s="21">
        <f t="shared" si="8"/>
        <v>60</v>
      </c>
      <c r="AK27" s="101">
        <f t="shared" si="9"/>
        <v>1E-3</v>
      </c>
      <c r="AL27" s="21">
        <f t="shared" si="10"/>
        <v>3</v>
      </c>
      <c r="AM27" s="21">
        <f t="shared" si="11"/>
        <v>1500</v>
      </c>
      <c r="AN27" s="101">
        <f t="shared" si="12"/>
        <v>0.1</v>
      </c>
      <c r="AO27" s="185" t="str">
        <f t="shared" si="13"/>
        <v>NaN</v>
      </c>
    </row>
    <row r="28" spans="1:41" s="1" customFormat="1" x14ac:dyDescent="0.2">
      <c r="A28" s="3" t="s">
        <v>296</v>
      </c>
      <c r="B28" s="3" t="s">
        <v>296</v>
      </c>
      <c r="C28" s="52">
        <v>35103</v>
      </c>
      <c r="D28" s="178">
        <v>65.788799999999995</v>
      </c>
      <c r="E28" s="178">
        <v>23.3033</v>
      </c>
      <c r="F28" s="20">
        <v>8195</v>
      </c>
      <c r="G28" s="116">
        <v>0</v>
      </c>
      <c r="H28" s="51">
        <v>7</v>
      </c>
      <c r="I28" s="166">
        <f t="shared" si="16"/>
        <v>-1.006</v>
      </c>
      <c r="J28" s="98">
        <f t="shared" si="16"/>
        <v>0.58699999999999997</v>
      </c>
      <c r="K28" s="98">
        <f t="shared" si="16"/>
        <v>0.05</v>
      </c>
      <c r="L28" s="138">
        <f t="shared" si="18"/>
        <v>0.16850000000000001</v>
      </c>
      <c r="M28" s="138">
        <f t="shared" si="18"/>
        <v>7.4000000000000003E-3</v>
      </c>
      <c r="N28" s="138">
        <f t="shared" si="18"/>
        <v>8.0000000000000002E-3</v>
      </c>
      <c r="O28" s="40">
        <f t="shared" ref="O28:P28" si="31">ROUND(O40,0)</f>
        <v>180</v>
      </c>
      <c r="P28" s="40">
        <f t="shared" si="31"/>
        <v>60</v>
      </c>
      <c r="Q28" s="98">
        <f t="shared" si="20"/>
        <v>1E-3</v>
      </c>
      <c r="R28" s="40">
        <f t="shared" ref="R28:S28" si="32">ROUND(R40,0)</f>
        <v>3</v>
      </c>
      <c r="S28" s="40">
        <f t="shared" si="32"/>
        <v>1500</v>
      </c>
      <c r="T28" s="98">
        <f t="shared" si="22"/>
        <v>0.1</v>
      </c>
      <c r="U28" s="51" t="s">
        <v>282</v>
      </c>
      <c r="V28" s="21"/>
      <c r="W28" s="58">
        <f t="shared" si="0"/>
        <v>35103</v>
      </c>
      <c r="X28" s="102">
        <f t="shared" si="1"/>
        <v>65.788799999999995</v>
      </c>
      <c r="Y28" s="102">
        <f t="shared" si="2"/>
        <v>23.3033</v>
      </c>
      <c r="Z28" s="21">
        <f t="shared" si="3"/>
        <v>8195</v>
      </c>
      <c r="AA28" s="44">
        <f t="shared" si="4"/>
        <v>0</v>
      </c>
      <c r="AB28" s="21">
        <f t="shared" si="5"/>
        <v>7</v>
      </c>
      <c r="AC28" s="121">
        <f>ROUND(I28+mwreg!$G$10/100,3)</f>
        <v>-0.94499999999999995</v>
      </c>
      <c r="AD28" s="101">
        <f>ROUND(J28+mwreg!$G$10/100,3)</f>
        <v>0.64800000000000002</v>
      </c>
      <c r="AE28" s="101">
        <f>ROUND(K28+mwreg!$G$10/100,3)</f>
        <v>0.111</v>
      </c>
      <c r="AF28" s="102">
        <f t="shared" si="14"/>
        <v>0.16850000000000001</v>
      </c>
      <c r="AG28" s="102">
        <f t="shared" si="15"/>
        <v>7.4000000000000003E-3</v>
      </c>
      <c r="AH28" s="102">
        <f t="shared" si="6"/>
        <v>8.0000000000000002E-3</v>
      </c>
      <c r="AI28" s="21">
        <f t="shared" si="7"/>
        <v>180</v>
      </c>
      <c r="AJ28" s="21">
        <f t="shared" si="8"/>
        <v>60</v>
      </c>
      <c r="AK28" s="101">
        <f t="shared" si="9"/>
        <v>1E-3</v>
      </c>
      <c r="AL28" s="21">
        <f t="shared" si="10"/>
        <v>3</v>
      </c>
      <c r="AM28" s="21">
        <f t="shared" si="11"/>
        <v>1500</v>
      </c>
      <c r="AN28" s="101">
        <f t="shared" si="12"/>
        <v>0.1</v>
      </c>
      <c r="AO28" s="185" t="str">
        <f t="shared" si="13"/>
        <v>NaN</v>
      </c>
    </row>
    <row r="29" spans="1:41" s="1" customFormat="1" x14ac:dyDescent="0.2">
      <c r="A29" s="3" t="s">
        <v>296</v>
      </c>
      <c r="B29" s="3" t="s">
        <v>296</v>
      </c>
      <c r="C29" s="52">
        <v>35103</v>
      </c>
      <c r="D29" s="178">
        <v>65.788799999999995</v>
      </c>
      <c r="E29" s="178">
        <v>23.3033</v>
      </c>
      <c r="F29" s="20">
        <v>8195</v>
      </c>
      <c r="G29" s="116">
        <v>0</v>
      </c>
      <c r="H29" s="51">
        <v>8</v>
      </c>
      <c r="I29" s="166">
        <f t="shared" si="16"/>
        <v>-0.72699999999999998</v>
      </c>
      <c r="J29" s="98">
        <f t="shared" si="16"/>
        <v>0.81100000000000005</v>
      </c>
      <c r="K29" s="98">
        <f t="shared" si="16"/>
        <v>4.8000000000000001E-2</v>
      </c>
      <c r="L29" s="138">
        <f t="shared" si="18"/>
        <v>0.17630000000000001</v>
      </c>
      <c r="M29" s="138">
        <f t="shared" si="18"/>
        <v>8.9099999999999999E-2</v>
      </c>
      <c r="N29" s="138">
        <f t="shared" si="18"/>
        <v>0.09</v>
      </c>
      <c r="O29" s="40">
        <f t="shared" ref="O29:P29" si="33">ROUND(O41,0)</f>
        <v>180</v>
      </c>
      <c r="P29" s="40">
        <f t="shared" si="33"/>
        <v>60</v>
      </c>
      <c r="Q29" s="98">
        <f t="shared" si="20"/>
        <v>1E-3</v>
      </c>
      <c r="R29" s="40">
        <f t="shared" ref="R29:S29" si="34">ROUND(R41,0)</f>
        <v>3</v>
      </c>
      <c r="S29" s="40">
        <f t="shared" si="34"/>
        <v>1500</v>
      </c>
      <c r="T29" s="98">
        <f t="shared" si="22"/>
        <v>0.1</v>
      </c>
      <c r="U29" s="51" t="s">
        <v>282</v>
      </c>
      <c r="V29" s="21"/>
      <c r="W29" s="58">
        <f t="shared" si="0"/>
        <v>35103</v>
      </c>
      <c r="X29" s="102">
        <f t="shared" si="1"/>
        <v>65.788799999999995</v>
      </c>
      <c r="Y29" s="102">
        <f t="shared" si="2"/>
        <v>23.3033</v>
      </c>
      <c r="Z29" s="21">
        <f t="shared" si="3"/>
        <v>8195</v>
      </c>
      <c r="AA29" s="44">
        <f t="shared" si="4"/>
        <v>0</v>
      </c>
      <c r="AB29" s="21">
        <f t="shared" si="5"/>
        <v>8</v>
      </c>
      <c r="AC29" s="121">
        <f>ROUND(I29+mwreg!$G$10/100,3)</f>
        <v>-0.66600000000000004</v>
      </c>
      <c r="AD29" s="101">
        <f>ROUND(J29+mwreg!$G$10/100,3)</f>
        <v>0.872</v>
      </c>
      <c r="AE29" s="101">
        <f>ROUND(K29+mwreg!$G$10/100,3)</f>
        <v>0.109</v>
      </c>
      <c r="AF29" s="102">
        <f t="shared" si="14"/>
        <v>0.17630000000000001</v>
      </c>
      <c r="AG29" s="102">
        <f t="shared" si="15"/>
        <v>8.9099999999999999E-2</v>
      </c>
      <c r="AH29" s="102">
        <f t="shared" si="6"/>
        <v>0.09</v>
      </c>
      <c r="AI29" s="21">
        <f t="shared" si="7"/>
        <v>180</v>
      </c>
      <c r="AJ29" s="21">
        <f t="shared" si="8"/>
        <v>60</v>
      </c>
      <c r="AK29" s="101">
        <f t="shared" si="9"/>
        <v>1E-3</v>
      </c>
      <c r="AL29" s="21">
        <f t="shared" si="10"/>
        <v>3</v>
      </c>
      <c r="AM29" s="21">
        <f t="shared" si="11"/>
        <v>1500</v>
      </c>
      <c r="AN29" s="101">
        <f t="shared" si="12"/>
        <v>0.1</v>
      </c>
      <c r="AO29" s="185" t="str">
        <f t="shared" si="13"/>
        <v>NaN</v>
      </c>
    </row>
    <row r="30" spans="1:41" s="1" customFormat="1" x14ac:dyDescent="0.2">
      <c r="A30" s="3" t="s">
        <v>296</v>
      </c>
      <c r="B30" s="3" t="s">
        <v>296</v>
      </c>
      <c r="C30" s="52">
        <v>35103</v>
      </c>
      <c r="D30" s="178">
        <v>65.788799999999995</v>
      </c>
      <c r="E30" s="178">
        <v>23.3033</v>
      </c>
      <c r="F30" s="20">
        <v>8195</v>
      </c>
      <c r="G30" s="116">
        <v>0</v>
      </c>
      <c r="H30" s="51">
        <v>9</v>
      </c>
      <c r="I30" s="166">
        <f t="shared" si="16"/>
        <v>-0.84299999999999997</v>
      </c>
      <c r="J30" s="98">
        <f t="shared" si="16"/>
        <v>1.371</v>
      </c>
      <c r="K30" s="98">
        <f t="shared" si="16"/>
        <v>0.13500000000000001</v>
      </c>
      <c r="L30" s="138">
        <f t="shared" si="18"/>
        <v>0.23169999999999999</v>
      </c>
      <c r="M30" s="138">
        <f t="shared" si="18"/>
        <v>3.2099999999999997E-2</v>
      </c>
      <c r="N30" s="138">
        <f t="shared" si="18"/>
        <v>3.3000000000000002E-2</v>
      </c>
      <c r="O30" s="40">
        <f t="shared" ref="O30:P30" si="35">ROUND(O42,0)</f>
        <v>180</v>
      </c>
      <c r="P30" s="40">
        <f t="shared" si="35"/>
        <v>60</v>
      </c>
      <c r="Q30" s="98">
        <f t="shared" si="20"/>
        <v>1E-3</v>
      </c>
      <c r="R30" s="40">
        <f t="shared" ref="R30:S30" si="36">ROUND(R42,0)</f>
        <v>3</v>
      </c>
      <c r="S30" s="40">
        <f t="shared" si="36"/>
        <v>1500</v>
      </c>
      <c r="T30" s="98">
        <f t="shared" si="22"/>
        <v>0.1</v>
      </c>
      <c r="U30" s="51" t="s">
        <v>282</v>
      </c>
      <c r="V30" s="21"/>
      <c r="W30" s="58">
        <f t="shared" si="0"/>
        <v>35103</v>
      </c>
      <c r="X30" s="102">
        <f t="shared" si="1"/>
        <v>65.788799999999995</v>
      </c>
      <c r="Y30" s="102">
        <f t="shared" si="2"/>
        <v>23.3033</v>
      </c>
      <c r="Z30" s="21">
        <f t="shared" si="3"/>
        <v>8195</v>
      </c>
      <c r="AA30" s="44">
        <f t="shared" si="4"/>
        <v>0</v>
      </c>
      <c r="AB30" s="21">
        <f t="shared" si="5"/>
        <v>9</v>
      </c>
      <c r="AC30" s="121">
        <f>ROUND(I30+mwreg!$G$10/100,3)</f>
        <v>-0.78200000000000003</v>
      </c>
      <c r="AD30" s="101">
        <f>ROUND(J30+mwreg!$G$10/100,3)</f>
        <v>1.4319999999999999</v>
      </c>
      <c r="AE30" s="101">
        <f>ROUND(K30+mwreg!$G$10/100,3)</f>
        <v>0.19600000000000001</v>
      </c>
      <c r="AF30" s="102">
        <f t="shared" si="14"/>
        <v>0.23169999999999999</v>
      </c>
      <c r="AG30" s="102">
        <f t="shared" si="15"/>
        <v>3.2099999999999997E-2</v>
      </c>
      <c r="AH30" s="102">
        <f t="shared" si="6"/>
        <v>3.3000000000000002E-2</v>
      </c>
      <c r="AI30" s="21">
        <f t="shared" si="7"/>
        <v>180</v>
      </c>
      <c r="AJ30" s="21">
        <f t="shared" si="8"/>
        <v>60</v>
      </c>
      <c r="AK30" s="101">
        <f t="shared" si="9"/>
        <v>1E-3</v>
      </c>
      <c r="AL30" s="21">
        <f t="shared" si="10"/>
        <v>3</v>
      </c>
      <c r="AM30" s="21">
        <f t="shared" si="11"/>
        <v>1500</v>
      </c>
      <c r="AN30" s="101">
        <f t="shared" si="12"/>
        <v>0.1</v>
      </c>
      <c r="AO30" s="185" t="str">
        <f t="shared" si="13"/>
        <v>NaN</v>
      </c>
    </row>
    <row r="31" spans="1:41" s="1" customFormat="1" x14ac:dyDescent="0.2">
      <c r="A31" s="3" t="s">
        <v>296</v>
      </c>
      <c r="B31" s="3" t="s">
        <v>296</v>
      </c>
      <c r="C31" s="52">
        <v>35103</v>
      </c>
      <c r="D31" s="178">
        <v>65.788799999999995</v>
      </c>
      <c r="E31" s="178">
        <v>23.3033</v>
      </c>
      <c r="F31" s="20">
        <v>8195</v>
      </c>
      <c r="G31" s="116">
        <v>0</v>
      </c>
      <c r="H31" s="51">
        <v>10</v>
      </c>
      <c r="I31" s="166">
        <f t="shared" si="16"/>
        <v>-1.0029999999999999</v>
      </c>
      <c r="J31" s="98">
        <f t="shared" si="16"/>
        <v>1.3320000000000001</v>
      </c>
      <c r="K31" s="98">
        <f t="shared" si="16"/>
        <v>0.1</v>
      </c>
      <c r="L31" s="138">
        <f t="shared" si="18"/>
        <v>0.28770000000000001</v>
      </c>
      <c r="M31" s="138">
        <f t="shared" si="18"/>
        <v>1.7000000000000001E-2</v>
      </c>
      <c r="N31" s="138">
        <f t="shared" si="18"/>
        <v>1.7999999999999999E-2</v>
      </c>
      <c r="O31" s="40">
        <f t="shared" ref="O31:P31" si="37">ROUND(O43,0)</f>
        <v>180</v>
      </c>
      <c r="P31" s="40">
        <f t="shared" si="37"/>
        <v>60</v>
      </c>
      <c r="Q31" s="98">
        <f t="shared" si="20"/>
        <v>1E-3</v>
      </c>
      <c r="R31" s="40">
        <f t="shared" ref="R31:S31" si="38">ROUND(R43,0)</f>
        <v>3</v>
      </c>
      <c r="S31" s="40">
        <f t="shared" si="38"/>
        <v>1500</v>
      </c>
      <c r="T31" s="98">
        <f t="shared" si="22"/>
        <v>0.1</v>
      </c>
      <c r="U31" s="51" t="s">
        <v>282</v>
      </c>
      <c r="V31" s="21"/>
      <c r="W31" s="58">
        <f t="shared" si="0"/>
        <v>35103</v>
      </c>
      <c r="X31" s="102">
        <f t="shared" si="1"/>
        <v>65.788799999999995</v>
      </c>
      <c r="Y31" s="102">
        <f t="shared" si="2"/>
        <v>23.3033</v>
      </c>
      <c r="Z31" s="21">
        <f t="shared" si="3"/>
        <v>8195</v>
      </c>
      <c r="AA31" s="44">
        <f t="shared" si="4"/>
        <v>0</v>
      </c>
      <c r="AB31" s="21">
        <f t="shared" si="5"/>
        <v>10</v>
      </c>
      <c r="AC31" s="121">
        <f>ROUND(I31+mwreg!$G$10/100,3)</f>
        <v>-0.94199999999999995</v>
      </c>
      <c r="AD31" s="101">
        <f>ROUND(J31+mwreg!$G$10/100,3)</f>
        <v>1.393</v>
      </c>
      <c r="AE31" s="101">
        <f>ROUND(K31+mwreg!$G$10/100,3)</f>
        <v>0.161</v>
      </c>
      <c r="AF31" s="102">
        <f t="shared" si="14"/>
        <v>0.28770000000000001</v>
      </c>
      <c r="AG31" s="102">
        <f t="shared" si="15"/>
        <v>1.7000000000000001E-2</v>
      </c>
      <c r="AH31" s="102">
        <f t="shared" si="6"/>
        <v>1.7999999999999999E-2</v>
      </c>
      <c r="AI31" s="21">
        <f t="shared" si="7"/>
        <v>180</v>
      </c>
      <c r="AJ31" s="21">
        <f t="shared" si="8"/>
        <v>60</v>
      </c>
      <c r="AK31" s="101">
        <f t="shared" si="9"/>
        <v>1E-3</v>
      </c>
      <c r="AL31" s="21">
        <f t="shared" si="10"/>
        <v>3</v>
      </c>
      <c r="AM31" s="21">
        <f t="shared" si="11"/>
        <v>1500</v>
      </c>
      <c r="AN31" s="101">
        <f t="shared" si="12"/>
        <v>0.1</v>
      </c>
      <c r="AO31" s="185" t="str">
        <f t="shared" si="13"/>
        <v>NaN</v>
      </c>
    </row>
    <row r="32" spans="1:41" s="1" customFormat="1" x14ac:dyDescent="0.2">
      <c r="A32" s="3" t="s">
        <v>296</v>
      </c>
      <c r="B32" s="3" t="s">
        <v>296</v>
      </c>
      <c r="C32" s="52">
        <v>35103</v>
      </c>
      <c r="D32" s="178">
        <v>65.788799999999995</v>
      </c>
      <c r="E32" s="178">
        <v>23.3033</v>
      </c>
      <c r="F32" s="20">
        <v>8195</v>
      </c>
      <c r="G32" s="116">
        <v>0</v>
      </c>
      <c r="H32" s="51">
        <v>11</v>
      </c>
      <c r="I32" s="166">
        <f t="shared" si="16"/>
        <v>-1.071</v>
      </c>
      <c r="J32" s="98">
        <f t="shared" si="16"/>
        <v>1.4610000000000001</v>
      </c>
      <c r="K32" s="98">
        <f t="shared" si="16"/>
        <v>0.13300000000000001</v>
      </c>
      <c r="L32" s="138">
        <f t="shared" si="18"/>
        <v>0.33579999999999999</v>
      </c>
      <c r="M32" s="138">
        <f t="shared" si="18"/>
        <v>4.8800000000000003E-2</v>
      </c>
      <c r="N32" s="138">
        <f t="shared" si="18"/>
        <v>0.05</v>
      </c>
      <c r="O32" s="40">
        <f t="shared" ref="O32:P32" si="39">ROUND(O44,0)</f>
        <v>180</v>
      </c>
      <c r="P32" s="40">
        <f t="shared" si="39"/>
        <v>60</v>
      </c>
      <c r="Q32" s="98">
        <f t="shared" si="20"/>
        <v>1E-3</v>
      </c>
      <c r="R32" s="40">
        <f t="shared" ref="R32:S32" si="40">ROUND(R44,0)</f>
        <v>3</v>
      </c>
      <c r="S32" s="40">
        <f t="shared" si="40"/>
        <v>1500</v>
      </c>
      <c r="T32" s="98">
        <f t="shared" si="22"/>
        <v>0.1</v>
      </c>
      <c r="U32" s="51" t="s">
        <v>282</v>
      </c>
      <c r="V32" s="21"/>
      <c r="W32" s="58">
        <f t="shared" si="0"/>
        <v>35103</v>
      </c>
      <c r="X32" s="102">
        <f t="shared" si="1"/>
        <v>65.788799999999995</v>
      </c>
      <c r="Y32" s="102">
        <f t="shared" si="2"/>
        <v>23.3033</v>
      </c>
      <c r="Z32" s="21">
        <f t="shared" si="3"/>
        <v>8195</v>
      </c>
      <c r="AA32" s="44">
        <f t="shared" si="4"/>
        <v>0</v>
      </c>
      <c r="AB32" s="21">
        <f t="shared" si="5"/>
        <v>11</v>
      </c>
      <c r="AC32" s="121">
        <f>ROUND(I32+mwreg!$G$10/100,3)</f>
        <v>-1.01</v>
      </c>
      <c r="AD32" s="101">
        <f>ROUND(J32+mwreg!$G$10/100,3)</f>
        <v>1.522</v>
      </c>
      <c r="AE32" s="101">
        <f>ROUND(K32+mwreg!$G$10/100,3)</f>
        <v>0.19400000000000001</v>
      </c>
      <c r="AF32" s="102">
        <f t="shared" si="14"/>
        <v>0.33579999999999999</v>
      </c>
      <c r="AG32" s="102">
        <f t="shared" si="15"/>
        <v>4.8800000000000003E-2</v>
      </c>
      <c r="AH32" s="102">
        <f t="shared" si="6"/>
        <v>0.05</v>
      </c>
      <c r="AI32" s="21">
        <f t="shared" si="7"/>
        <v>180</v>
      </c>
      <c r="AJ32" s="21">
        <f t="shared" si="8"/>
        <v>60</v>
      </c>
      <c r="AK32" s="101">
        <f t="shared" si="9"/>
        <v>1E-3</v>
      </c>
      <c r="AL32" s="21">
        <f t="shared" si="10"/>
        <v>3</v>
      </c>
      <c r="AM32" s="21">
        <f t="shared" si="11"/>
        <v>1500</v>
      </c>
      <c r="AN32" s="101">
        <f t="shared" si="12"/>
        <v>0.1</v>
      </c>
      <c r="AO32" s="185" t="str">
        <f t="shared" si="13"/>
        <v>NaN</v>
      </c>
    </row>
    <row r="33" spans="1:41" s="1" customFormat="1" x14ac:dyDescent="0.2">
      <c r="A33" s="3" t="s">
        <v>296</v>
      </c>
      <c r="B33" s="3" t="s">
        <v>296</v>
      </c>
      <c r="C33" s="52">
        <v>35103</v>
      </c>
      <c r="D33" s="178">
        <v>65.788799999999995</v>
      </c>
      <c r="E33" s="178">
        <v>23.3033</v>
      </c>
      <c r="F33" s="20">
        <v>8195</v>
      </c>
      <c r="G33" s="116">
        <v>0</v>
      </c>
      <c r="H33" s="51">
        <v>12</v>
      </c>
      <c r="I33" s="166">
        <f t="shared" si="16"/>
        <v>-0.99299999999999999</v>
      </c>
      <c r="J33" s="98">
        <f t="shared" si="16"/>
        <v>1.484</v>
      </c>
      <c r="K33" s="98">
        <f t="shared" si="16"/>
        <v>0.21199999999999999</v>
      </c>
      <c r="L33" s="138">
        <f t="shared" si="18"/>
        <v>0.32090000000000002</v>
      </c>
      <c r="M33" s="138">
        <f t="shared" si="18"/>
        <v>7.5399999999999995E-2</v>
      </c>
      <c r="N33" s="138">
        <f t="shared" si="18"/>
        <v>7.6499999999999999E-2</v>
      </c>
      <c r="O33" s="40">
        <f t="shared" ref="O33:P33" si="41">ROUND(O45,0)</f>
        <v>180</v>
      </c>
      <c r="P33" s="40">
        <f t="shared" si="41"/>
        <v>60</v>
      </c>
      <c r="Q33" s="98">
        <f t="shared" si="20"/>
        <v>1E-3</v>
      </c>
      <c r="R33" s="40">
        <f t="shared" ref="R33:S33" si="42">ROUND(R45,0)</f>
        <v>3</v>
      </c>
      <c r="S33" s="40">
        <f t="shared" si="42"/>
        <v>1500</v>
      </c>
      <c r="T33" s="98">
        <f t="shared" si="22"/>
        <v>0.1</v>
      </c>
      <c r="U33" s="51" t="s">
        <v>282</v>
      </c>
      <c r="V33" s="21"/>
      <c r="W33" s="58">
        <f t="shared" si="0"/>
        <v>35103</v>
      </c>
      <c r="X33" s="102">
        <f t="shared" si="1"/>
        <v>65.788799999999995</v>
      </c>
      <c r="Y33" s="102">
        <f t="shared" si="2"/>
        <v>23.3033</v>
      </c>
      <c r="Z33" s="21">
        <f t="shared" si="3"/>
        <v>8195</v>
      </c>
      <c r="AA33" s="44">
        <f t="shared" si="4"/>
        <v>0</v>
      </c>
      <c r="AB33" s="21">
        <f t="shared" si="5"/>
        <v>12</v>
      </c>
      <c r="AC33" s="121">
        <f>ROUND(I33+mwreg!$G$10/100,3)</f>
        <v>-0.93200000000000005</v>
      </c>
      <c r="AD33" s="101">
        <f>ROUND(J33+mwreg!$G$10/100,3)</f>
        <v>1.5449999999999999</v>
      </c>
      <c r="AE33" s="101">
        <f>ROUND(K33+mwreg!$G$10/100,3)</f>
        <v>0.27300000000000002</v>
      </c>
      <c r="AF33" s="102">
        <f t="shared" si="14"/>
        <v>0.32090000000000002</v>
      </c>
      <c r="AG33" s="102">
        <f t="shared" si="15"/>
        <v>7.5399999999999995E-2</v>
      </c>
      <c r="AH33" s="102">
        <f t="shared" si="6"/>
        <v>7.6499999999999999E-2</v>
      </c>
      <c r="AI33" s="21">
        <f t="shared" si="7"/>
        <v>180</v>
      </c>
      <c r="AJ33" s="21">
        <f t="shared" si="8"/>
        <v>60</v>
      </c>
      <c r="AK33" s="101">
        <f t="shared" si="9"/>
        <v>1E-3</v>
      </c>
      <c r="AL33" s="21">
        <f t="shared" si="10"/>
        <v>3</v>
      </c>
      <c r="AM33" s="21">
        <f t="shared" si="11"/>
        <v>1500</v>
      </c>
      <c r="AN33" s="101">
        <f t="shared" si="12"/>
        <v>0.1</v>
      </c>
      <c r="AO33" s="185" t="str">
        <f t="shared" si="13"/>
        <v>NaN</v>
      </c>
    </row>
    <row r="34" spans="1:41" x14ac:dyDescent="0.2">
      <c r="A34" s="3" t="str">
        <f>stat_uppg!A11</f>
        <v>2157/33051</v>
      </c>
      <c r="B34" s="3" t="str">
        <f>stat_uppg!B11</f>
        <v>KALIX STORÖN (SMHI)</v>
      </c>
      <c r="C34" s="55">
        <v>2157</v>
      </c>
      <c r="D34" s="79">
        <v>65.696899999999999</v>
      </c>
      <c r="E34" s="79">
        <v>23.0961</v>
      </c>
      <c r="F34" s="14">
        <v>8195</v>
      </c>
      <c r="G34" s="10">
        <v>0</v>
      </c>
      <c r="H34" s="122">
        <v>1</v>
      </c>
      <c r="I34" s="165">
        <v>-1.2130000000000001</v>
      </c>
      <c r="J34" s="11">
        <v>1.7649999999999999</v>
      </c>
      <c r="K34" s="11">
        <v>0.24399999999999999</v>
      </c>
      <c r="L34" s="79">
        <v>0.3649</v>
      </c>
      <c r="M34" s="79">
        <v>8.3000000000000001E-3</v>
      </c>
      <c r="N34" s="79">
        <v>8.9999999999999993E-3</v>
      </c>
      <c r="O34" s="14">
        <v>180</v>
      </c>
      <c r="P34" s="14">
        <v>60</v>
      </c>
      <c r="Q34" s="11">
        <v>1E-3</v>
      </c>
      <c r="R34" s="14">
        <v>3</v>
      </c>
      <c r="S34" s="14">
        <v>1500</v>
      </c>
      <c r="T34" s="11">
        <v>0.1</v>
      </c>
      <c r="U34" s="122">
        <v>190976</v>
      </c>
      <c r="V34" s="35"/>
      <c r="W34" s="99">
        <f t="shared" si="0"/>
        <v>2157</v>
      </c>
      <c r="X34" s="100">
        <f t="shared" si="1"/>
        <v>65.696899999999999</v>
      </c>
      <c r="Y34" s="100">
        <f t="shared" si="2"/>
        <v>23.0961</v>
      </c>
      <c r="Z34" s="22">
        <f t="shared" si="3"/>
        <v>8195</v>
      </c>
      <c r="AA34" s="35">
        <f t="shared" si="4"/>
        <v>0</v>
      </c>
      <c r="AB34" s="22">
        <f t="shared" si="5"/>
        <v>1</v>
      </c>
      <c r="AC34" s="120">
        <f>ROUND(I34+mwreg!$G$11/100,3)</f>
        <v>-1.1599999999999999</v>
      </c>
      <c r="AD34" s="106">
        <f>ROUND(J34+mwreg!$G$11/100,3)</f>
        <v>1.8180000000000001</v>
      </c>
      <c r="AE34" s="106">
        <f>ROUND(K34+mwreg!$G$11/100,3)</f>
        <v>0.29699999999999999</v>
      </c>
      <c r="AF34" s="100">
        <f t="shared" si="14"/>
        <v>0.3649</v>
      </c>
      <c r="AG34" s="100">
        <f t="shared" si="15"/>
        <v>8.3000000000000001E-3</v>
      </c>
      <c r="AH34" s="100">
        <f t="shared" ref="AH34:AH97" si="43">N34</f>
        <v>8.9999999999999993E-3</v>
      </c>
      <c r="AI34" s="22">
        <f t="shared" ref="AI34:AI97" si="44">O34</f>
        <v>180</v>
      </c>
      <c r="AJ34" s="22">
        <f t="shared" ref="AJ34:AJ97" si="45">P34</f>
        <v>60</v>
      </c>
      <c r="AK34" s="106">
        <f t="shared" ref="AK34:AK97" si="46">Q34</f>
        <v>1E-3</v>
      </c>
      <c r="AL34" s="22">
        <f t="shared" ref="AL34:AL97" si="47">R34</f>
        <v>3</v>
      </c>
      <c r="AM34" s="22">
        <f t="shared" ref="AM34:AM97" si="48">S34</f>
        <v>1500</v>
      </c>
      <c r="AN34" s="106">
        <f t="shared" ref="AN34:AN97" si="49">T34</f>
        <v>0.1</v>
      </c>
      <c r="AO34" s="184">
        <f t="shared" ref="AO34:AO45" si="50">U34</f>
        <v>190976</v>
      </c>
    </row>
    <row r="35" spans="1:41" x14ac:dyDescent="0.2">
      <c r="A35" s="3" t="s">
        <v>296</v>
      </c>
      <c r="B35" s="3" t="s">
        <v>296</v>
      </c>
      <c r="C35" s="55">
        <v>2157</v>
      </c>
      <c r="D35" s="79">
        <v>65.696899999999999</v>
      </c>
      <c r="E35" s="79">
        <v>23.0961</v>
      </c>
      <c r="F35" s="14">
        <v>8195</v>
      </c>
      <c r="G35" s="10">
        <v>0</v>
      </c>
      <c r="H35" s="122">
        <v>2</v>
      </c>
      <c r="I35" s="165">
        <v>-0.85399999999999998</v>
      </c>
      <c r="J35" s="11">
        <v>1.4370000000000001</v>
      </c>
      <c r="K35" s="11">
        <v>0.183</v>
      </c>
      <c r="L35" s="79">
        <v>0.3926</v>
      </c>
      <c r="M35" s="79">
        <v>3.5000000000000001E-3</v>
      </c>
      <c r="N35" s="79">
        <v>4.1999999999999997E-3</v>
      </c>
      <c r="O35" s="14">
        <v>180</v>
      </c>
      <c r="P35" s="14">
        <v>60</v>
      </c>
      <c r="Q35" s="11">
        <v>1E-3</v>
      </c>
      <c r="R35" s="14">
        <v>3</v>
      </c>
      <c r="S35" s="14">
        <v>1500</v>
      </c>
      <c r="T35" s="11">
        <v>0.1</v>
      </c>
      <c r="U35" s="122">
        <v>170028</v>
      </c>
      <c r="V35" s="35"/>
      <c r="W35" s="99">
        <f t="shared" si="0"/>
        <v>2157</v>
      </c>
      <c r="X35" s="100">
        <f t="shared" si="1"/>
        <v>65.696899999999999</v>
      </c>
      <c r="Y35" s="100">
        <f t="shared" si="2"/>
        <v>23.0961</v>
      </c>
      <c r="Z35" s="22">
        <f t="shared" si="3"/>
        <v>8195</v>
      </c>
      <c r="AA35" s="35">
        <f t="shared" si="4"/>
        <v>0</v>
      </c>
      <c r="AB35" s="22">
        <f t="shared" si="5"/>
        <v>2</v>
      </c>
      <c r="AC35" s="120">
        <f>ROUND(I35+mwreg!$G$11/100,3)</f>
        <v>-0.80100000000000005</v>
      </c>
      <c r="AD35" s="106">
        <f>ROUND(J35+mwreg!$G$11/100,3)</f>
        <v>1.49</v>
      </c>
      <c r="AE35" s="106">
        <f>ROUND(K35+mwreg!$G$11/100,3)</f>
        <v>0.23599999999999999</v>
      </c>
      <c r="AF35" s="100">
        <f t="shared" si="14"/>
        <v>0.3926</v>
      </c>
      <c r="AG35" s="100">
        <f t="shared" si="15"/>
        <v>3.5000000000000001E-3</v>
      </c>
      <c r="AH35" s="100">
        <f t="shared" si="43"/>
        <v>4.1999999999999997E-3</v>
      </c>
      <c r="AI35" s="22">
        <f t="shared" si="44"/>
        <v>180</v>
      </c>
      <c r="AJ35" s="22">
        <f t="shared" si="45"/>
        <v>60</v>
      </c>
      <c r="AK35" s="106">
        <f t="shared" si="46"/>
        <v>1E-3</v>
      </c>
      <c r="AL35" s="22">
        <f t="shared" si="47"/>
        <v>3</v>
      </c>
      <c r="AM35" s="22">
        <f t="shared" si="48"/>
        <v>1500</v>
      </c>
      <c r="AN35" s="106">
        <f t="shared" si="49"/>
        <v>0.1</v>
      </c>
      <c r="AO35" s="184">
        <f t="shared" si="50"/>
        <v>170028</v>
      </c>
    </row>
    <row r="36" spans="1:41" x14ac:dyDescent="0.2">
      <c r="A36" s="3" t="s">
        <v>296</v>
      </c>
      <c r="B36" s="3" t="s">
        <v>296</v>
      </c>
      <c r="C36" s="55">
        <v>2157</v>
      </c>
      <c r="D36" s="79">
        <v>65.696899999999999</v>
      </c>
      <c r="E36" s="79">
        <v>23.0961</v>
      </c>
      <c r="F36" s="14">
        <v>8195</v>
      </c>
      <c r="G36" s="10">
        <v>0</v>
      </c>
      <c r="H36" s="122">
        <v>3</v>
      </c>
      <c r="I36" s="165">
        <v>-0.90400000000000003</v>
      </c>
      <c r="J36" s="11">
        <v>1.2689999999999999</v>
      </c>
      <c r="K36" s="11">
        <v>8.8999999999999996E-2</v>
      </c>
      <c r="L36" s="79">
        <v>0.31330000000000002</v>
      </c>
      <c r="M36" s="79">
        <v>6.7000000000000002E-3</v>
      </c>
      <c r="N36" s="79">
        <v>7.3000000000000001E-3</v>
      </c>
      <c r="O36" s="14">
        <v>180</v>
      </c>
      <c r="P36" s="14">
        <v>60</v>
      </c>
      <c r="Q36" s="11">
        <v>1E-3</v>
      </c>
      <c r="R36" s="14">
        <v>3</v>
      </c>
      <c r="S36" s="14">
        <v>1500</v>
      </c>
      <c r="T36" s="11">
        <v>0.1</v>
      </c>
      <c r="U36" s="122">
        <v>189596</v>
      </c>
      <c r="V36" s="35"/>
      <c r="W36" s="99">
        <f t="shared" si="0"/>
        <v>2157</v>
      </c>
      <c r="X36" s="100">
        <f t="shared" si="1"/>
        <v>65.696899999999999</v>
      </c>
      <c r="Y36" s="100">
        <f t="shared" si="2"/>
        <v>23.0961</v>
      </c>
      <c r="Z36" s="22">
        <f t="shared" si="3"/>
        <v>8195</v>
      </c>
      <c r="AA36" s="35">
        <f t="shared" si="4"/>
        <v>0</v>
      </c>
      <c r="AB36" s="22">
        <f t="shared" si="5"/>
        <v>3</v>
      </c>
      <c r="AC36" s="120">
        <f>ROUND(I36+mwreg!$G$11/100,3)</f>
        <v>-0.85099999999999998</v>
      </c>
      <c r="AD36" s="106">
        <f>ROUND(J36+mwreg!$G$11/100,3)</f>
        <v>1.3220000000000001</v>
      </c>
      <c r="AE36" s="106">
        <f>ROUND(K36+mwreg!$G$11/100,3)</f>
        <v>0.14199999999999999</v>
      </c>
      <c r="AF36" s="100">
        <f t="shared" si="14"/>
        <v>0.31330000000000002</v>
      </c>
      <c r="AG36" s="100">
        <f t="shared" si="15"/>
        <v>6.7000000000000002E-3</v>
      </c>
      <c r="AH36" s="100">
        <f t="shared" si="43"/>
        <v>7.3000000000000001E-3</v>
      </c>
      <c r="AI36" s="22">
        <f t="shared" si="44"/>
        <v>180</v>
      </c>
      <c r="AJ36" s="22">
        <f t="shared" si="45"/>
        <v>60</v>
      </c>
      <c r="AK36" s="106">
        <f t="shared" si="46"/>
        <v>1E-3</v>
      </c>
      <c r="AL36" s="22">
        <f t="shared" si="47"/>
        <v>3</v>
      </c>
      <c r="AM36" s="22">
        <f t="shared" si="48"/>
        <v>1500</v>
      </c>
      <c r="AN36" s="106">
        <f t="shared" si="49"/>
        <v>0.1</v>
      </c>
      <c r="AO36" s="184">
        <f t="shared" si="50"/>
        <v>189596</v>
      </c>
    </row>
    <row r="37" spans="1:41" x14ac:dyDescent="0.2">
      <c r="A37" s="3" t="s">
        <v>296</v>
      </c>
      <c r="B37" s="3" t="s">
        <v>296</v>
      </c>
      <c r="C37" s="55">
        <v>2157</v>
      </c>
      <c r="D37" s="79">
        <v>65.696899999999999</v>
      </c>
      <c r="E37" s="79">
        <v>23.0961</v>
      </c>
      <c r="F37" s="14">
        <v>8195</v>
      </c>
      <c r="G37" s="10">
        <v>0</v>
      </c>
      <c r="H37" s="122">
        <v>4</v>
      </c>
      <c r="I37" s="165">
        <v>-1.1739999999999999</v>
      </c>
      <c r="J37" s="11">
        <v>0.86499999999999999</v>
      </c>
      <c r="K37" s="11">
        <v>-0.1</v>
      </c>
      <c r="L37" s="79">
        <v>0.24249999999999999</v>
      </c>
      <c r="M37" s="79">
        <v>5.4000000000000003E-3</v>
      </c>
      <c r="N37" s="79">
        <v>6.0000000000000001E-3</v>
      </c>
      <c r="O37" s="14">
        <v>180</v>
      </c>
      <c r="P37" s="14">
        <v>60</v>
      </c>
      <c r="Q37" s="11">
        <v>1E-3</v>
      </c>
      <c r="R37" s="14">
        <v>3</v>
      </c>
      <c r="S37" s="14">
        <v>1500</v>
      </c>
      <c r="T37" s="11">
        <v>0.1</v>
      </c>
      <c r="U37" s="122">
        <v>186925</v>
      </c>
      <c r="V37" s="35"/>
      <c r="W37" s="99">
        <f t="shared" si="0"/>
        <v>2157</v>
      </c>
      <c r="X37" s="100">
        <f t="shared" si="1"/>
        <v>65.696899999999999</v>
      </c>
      <c r="Y37" s="100">
        <f t="shared" si="2"/>
        <v>23.0961</v>
      </c>
      <c r="Z37" s="22">
        <f t="shared" si="3"/>
        <v>8195</v>
      </c>
      <c r="AA37" s="35">
        <f t="shared" si="4"/>
        <v>0</v>
      </c>
      <c r="AB37" s="22">
        <f t="shared" si="5"/>
        <v>4</v>
      </c>
      <c r="AC37" s="120">
        <f>ROUND(I37+mwreg!$G$11/100,3)</f>
        <v>-1.121</v>
      </c>
      <c r="AD37" s="106">
        <f>ROUND(J37+mwreg!$G$11/100,3)</f>
        <v>0.91800000000000004</v>
      </c>
      <c r="AE37" s="106">
        <f>ROUND(K37+mwreg!$G$11/100,3)</f>
        <v>-4.7E-2</v>
      </c>
      <c r="AF37" s="100">
        <f t="shared" si="14"/>
        <v>0.24249999999999999</v>
      </c>
      <c r="AG37" s="100">
        <f t="shared" si="15"/>
        <v>5.4000000000000003E-3</v>
      </c>
      <c r="AH37" s="100">
        <f t="shared" si="43"/>
        <v>6.0000000000000001E-3</v>
      </c>
      <c r="AI37" s="22">
        <f t="shared" si="44"/>
        <v>180</v>
      </c>
      <c r="AJ37" s="22">
        <f t="shared" si="45"/>
        <v>60</v>
      </c>
      <c r="AK37" s="106">
        <f t="shared" si="46"/>
        <v>1E-3</v>
      </c>
      <c r="AL37" s="22">
        <f t="shared" si="47"/>
        <v>3</v>
      </c>
      <c r="AM37" s="22">
        <f t="shared" si="48"/>
        <v>1500</v>
      </c>
      <c r="AN37" s="106">
        <f t="shared" si="49"/>
        <v>0.1</v>
      </c>
      <c r="AO37" s="184">
        <f t="shared" si="50"/>
        <v>186925</v>
      </c>
    </row>
    <row r="38" spans="1:41" x14ac:dyDescent="0.2">
      <c r="A38" s="3" t="s">
        <v>296</v>
      </c>
      <c r="B38" s="3" t="s">
        <v>296</v>
      </c>
      <c r="C38" s="55">
        <v>2157</v>
      </c>
      <c r="D38" s="79">
        <v>65.696899999999999</v>
      </c>
      <c r="E38" s="79">
        <v>23.0961</v>
      </c>
      <c r="F38" s="14">
        <v>8195</v>
      </c>
      <c r="G38" s="10">
        <v>0</v>
      </c>
      <c r="H38" s="122">
        <v>5</v>
      </c>
      <c r="I38" s="165">
        <v>-0.92900000000000005</v>
      </c>
      <c r="J38" s="11">
        <v>0.89500000000000002</v>
      </c>
      <c r="K38" s="11">
        <v>-5.5E-2</v>
      </c>
      <c r="L38" s="79">
        <v>0.20030000000000001</v>
      </c>
      <c r="M38" s="79">
        <v>7.3000000000000001E-3</v>
      </c>
      <c r="N38" s="79">
        <v>8.0000000000000002E-3</v>
      </c>
      <c r="O38" s="14">
        <v>180</v>
      </c>
      <c r="P38" s="14">
        <v>60</v>
      </c>
      <c r="Q38" s="11">
        <v>1E-3</v>
      </c>
      <c r="R38" s="14">
        <v>3</v>
      </c>
      <c r="S38" s="14">
        <v>1500</v>
      </c>
      <c r="T38" s="11">
        <v>0.1</v>
      </c>
      <c r="U38" s="122">
        <v>193115</v>
      </c>
      <c r="V38" s="35"/>
      <c r="W38" s="99">
        <f t="shared" si="0"/>
        <v>2157</v>
      </c>
      <c r="X38" s="100">
        <f t="shared" si="1"/>
        <v>65.696899999999999</v>
      </c>
      <c r="Y38" s="100">
        <f t="shared" si="2"/>
        <v>23.0961</v>
      </c>
      <c r="Z38" s="22">
        <f t="shared" si="3"/>
        <v>8195</v>
      </c>
      <c r="AA38" s="35">
        <f t="shared" si="4"/>
        <v>0</v>
      </c>
      <c r="AB38" s="22">
        <f t="shared" si="5"/>
        <v>5</v>
      </c>
      <c r="AC38" s="120">
        <f>ROUND(I38+mwreg!$G$11/100,3)</f>
        <v>-0.876</v>
      </c>
      <c r="AD38" s="106">
        <f>ROUND(J38+mwreg!$G$11/100,3)</f>
        <v>0.94799999999999995</v>
      </c>
      <c r="AE38" s="106">
        <f>ROUND(K38+mwreg!$G$11/100,3)</f>
        <v>-2E-3</v>
      </c>
      <c r="AF38" s="100">
        <f t="shared" si="14"/>
        <v>0.20030000000000001</v>
      </c>
      <c r="AG38" s="100">
        <f t="shared" si="15"/>
        <v>7.3000000000000001E-3</v>
      </c>
      <c r="AH38" s="100">
        <f t="shared" si="43"/>
        <v>8.0000000000000002E-3</v>
      </c>
      <c r="AI38" s="22">
        <f t="shared" si="44"/>
        <v>180</v>
      </c>
      <c r="AJ38" s="22">
        <f t="shared" si="45"/>
        <v>60</v>
      </c>
      <c r="AK38" s="106">
        <f t="shared" si="46"/>
        <v>1E-3</v>
      </c>
      <c r="AL38" s="22">
        <f t="shared" si="47"/>
        <v>3</v>
      </c>
      <c r="AM38" s="22">
        <f t="shared" si="48"/>
        <v>1500</v>
      </c>
      <c r="AN38" s="106">
        <f t="shared" si="49"/>
        <v>0.1</v>
      </c>
      <c r="AO38" s="184">
        <f t="shared" si="50"/>
        <v>193115</v>
      </c>
    </row>
    <row r="39" spans="1:41" x14ac:dyDescent="0.2">
      <c r="A39" s="3" t="s">
        <v>296</v>
      </c>
      <c r="B39" s="3" t="s">
        <v>296</v>
      </c>
      <c r="C39" s="55">
        <v>2157</v>
      </c>
      <c r="D39" s="79">
        <v>65.696899999999999</v>
      </c>
      <c r="E39" s="79">
        <v>23.0961</v>
      </c>
      <c r="F39" s="14">
        <v>8195</v>
      </c>
      <c r="G39" s="10">
        <v>0</v>
      </c>
      <c r="H39" s="122">
        <v>6</v>
      </c>
      <c r="I39" s="165">
        <v>-0.66900000000000004</v>
      </c>
      <c r="J39" s="11">
        <v>0.73099999999999998</v>
      </c>
      <c r="K39" s="11">
        <v>-4.8000000000000001E-2</v>
      </c>
      <c r="L39" s="79">
        <v>0.16930000000000001</v>
      </c>
      <c r="M39" s="79">
        <v>5.8999999999999999E-3</v>
      </c>
      <c r="N39" s="79">
        <v>6.4999999999999997E-3</v>
      </c>
      <c r="O39" s="14">
        <v>180</v>
      </c>
      <c r="P39" s="14">
        <v>60</v>
      </c>
      <c r="Q39" s="11">
        <v>1E-3</v>
      </c>
      <c r="R39" s="14">
        <v>3</v>
      </c>
      <c r="S39" s="14">
        <v>1500</v>
      </c>
      <c r="T39" s="11">
        <v>0.1</v>
      </c>
      <c r="U39" s="122">
        <v>183192</v>
      </c>
      <c r="V39" s="35"/>
      <c r="W39" s="99">
        <f t="shared" si="0"/>
        <v>2157</v>
      </c>
      <c r="X39" s="100">
        <f t="shared" si="1"/>
        <v>65.696899999999999</v>
      </c>
      <c r="Y39" s="100">
        <f t="shared" si="2"/>
        <v>23.0961</v>
      </c>
      <c r="Z39" s="22">
        <f t="shared" si="3"/>
        <v>8195</v>
      </c>
      <c r="AA39" s="35">
        <f t="shared" si="4"/>
        <v>0</v>
      </c>
      <c r="AB39" s="22">
        <f t="shared" si="5"/>
        <v>6</v>
      </c>
      <c r="AC39" s="120">
        <f>ROUND(I39+mwreg!$G$11/100,3)</f>
        <v>-0.61599999999999999</v>
      </c>
      <c r="AD39" s="106">
        <f>ROUND(J39+mwreg!$G$11/100,3)</f>
        <v>0.78400000000000003</v>
      </c>
      <c r="AE39" s="106">
        <f>ROUND(K39+mwreg!$G$11/100,3)</f>
        <v>5.0000000000000001E-3</v>
      </c>
      <c r="AF39" s="100">
        <f t="shared" si="14"/>
        <v>0.16930000000000001</v>
      </c>
      <c r="AG39" s="100">
        <f t="shared" si="15"/>
        <v>5.8999999999999999E-3</v>
      </c>
      <c r="AH39" s="100">
        <f t="shared" si="43"/>
        <v>6.4999999999999997E-3</v>
      </c>
      <c r="AI39" s="22">
        <f t="shared" si="44"/>
        <v>180</v>
      </c>
      <c r="AJ39" s="22">
        <f t="shared" si="45"/>
        <v>60</v>
      </c>
      <c r="AK39" s="106">
        <f t="shared" si="46"/>
        <v>1E-3</v>
      </c>
      <c r="AL39" s="22">
        <f t="shared" si="47"/>
        <v>3</v>
      </c>
      <c r="AM39" s="22">
        <f t="shared" si="48"/>
        <v>1500</v>
      </c>
      <c r="AN39" s="106">
        <f t="shared" si="49"/>
        <v>0.1</v>
      </c>
      <c r="AO39" s="184">
        <f t="shared" si="50"/>
        <v>183192</v>
      </c>
    </row>
    <row r="40" spans="1:41" x14ac:dyDescent="0.2">
      <c r="A40" s="3" t="s">
        <v>296</v>
      </c>
      <c r="B40" s="3" t="s">
        <v>296</v>
      </c>
      <c r="C40" s="55">
        <v>2157</v>
      </c>
      <c r="D40" s="79">
        <v>65.696899999999999</v>
      </c>
      <c r="E40" s="79">
        <v>23.0961</v>
      </c>
      <c r="F40" s="14">
        <v>8195</v>
      </c>
      <c r="G40" s="10">
        <v>0</v>
      </c>
      <c r="H40" s="122">
        <v>7</v>
      </c>
      <c r="I40" s="165">
        <v>-1.006</v>
      </c>
      <c r="J40" s="11">
        <v>0.58699999999999997</v>
      </c>
      <c r="K40" s="11">
        <v>0.05</v>
      </c>
      <c r="L40" s="79">
        <v>0.16850000000000001</v>
      </c>
      <c r="M40" s="79">
        <v>7.4000000000000003E-3</v>
      </c>
      <c r="N40" s="79">
        <v>8.0000000000000002E-3</v>
      </c>
      <c r="O40" s="14">
        <v>180</v>
      </c>
      <c r="P40" s="14">
        <v>60</v>
      </c>
      <c r="Q40" s="11">
        <v>1E-3</v>
      </c>
      <c r="R40" s="14">
        <v>3</v>
      </c>
      <c r="S40" s="14">
        <v>1500</v>
      </c>
      <c r="T40" s="11">
        <v>0.1</v>
      </c>
      <c r="U40" s="122">
        <v>190153</v>
      </c>
      <c r="V40" s="35"/>
      <c r="W40" s="99">
        <f t="shared" si="0"/>
        <v>2157</v>
      </c>
      <c r="X40" s="100">
        <f t="shared" si="1"/>
        <v>65.696899999999999</v>
      </c>
      <c r="Y40" s="100">
        <f t="shared" si="2"/>
        <v>23.0961</v>
      </c>
      <c r="Z40" s="22">
        <f t="shared" si="3"/>
        <v>8195</v>
      </c>
      <c r="AA40" s="35">
        <f t="shared" si="4"/>
        <v>0</v>
      </c>
      <c r="AB40" s="22">
        <f t="shared" si="5"/>
        <v>7</v>
      </c>
      <c r="AC40" s="120">
        <f>ROUND(I40+mwreg!$G$11/100,3)</f>
        <v>-0.95299999999999996</v>
      </c>
      <c r="AD40" s="106">
        <f>ROUND(J40+mwreg!$G$11/100,3)</f>
        <v>0.64</v>
      </c>
      <c r="AE40" s="106">
        <f>ROUND(K40+mwreg!$G$11/100,3)</f>
        <v>0.10299999999999999</v>
      </c>
      <c r="AF40" s="100">
        <f t="shared" si="14"/>
        <v>0.16850000000000001</v>
      </c>
      <c r="AG40" s="100">
        <f t="shared" si="15"/>
        <v>7.4000000000000003E-3</v>
      </c>
      <c r="AH40" s="100">
        <f t="shared" si="43"/>
        <v>8.0000000000000002E-3</v>
      </c>
      <c r="AI40" s="22">
        <f t="shared" si="44"/>
        <v>180</v>
      </c>
      <c r="AJ40" s="22">
        <f t="shared" si="45"/>
        <v>60</v>
      </c>
      <c r="AK40" s="106">
        <f t="shared" si="46"/>
        <v>1E-3</v>
      </c>
      <c r="AL40" s="22">
        <f t="shared" si="47"/>
        <v>3</v>
      </c>
      <c r="AM40" s="22">
        <f t="shared" si="48"/>
        <v>1500</v>
      </c>
      <c r="AN40" s="106">
        <f t="shared" si="49"/>
        <v>0.1</v>
      </c>
      <c r="AO40" s="184">
        <f t="shared" si="50"/>
        <v>190153</v>
      </c>
    </row>
    <row r="41" spans="1:41" x14ac:dyDescent="0.2">
      <c r="A41" s="3" t="s">
        <v>296</v>
      </c>
      <c r="B41" s="3" t="s">
        <v>296</v>
      </c>
      <c r="C41" s="55">
        <v>2157</v>
      </c>
      <c r="D41" s="79">
        <v>65.696899999999999</v>
      </c>
      <c r="E41" s="79">
        <v>23.0961</v>
      </c>
      <c r="F41" s="14">
        <v>8195</v>
      </c>
      <c r="G41" s="10">
        <v>0</v>
      </c>
      <c r="H41" s="122">
        <v>8</v>
      </c>
      <c r="I41" s="165">
        <v>-0.72699999999999998</v>
      </c>
      <c r="J41" s="11">
        <v>0.81100000000000005</v>
      </c>
      <c r="K41" s="11">
        <v>4.8000000000000001E-2</v>
      </c>
      <c r="L41" s="79">
        <v>0.17630000000000001</v>
      </c>
      <c r="M41" s="79">
        <v>8.9099999999999999E-2</v>
      </c>
      <c r="N41" s="79">
        <v>0.09</v>
      </c>
      <c r="O41" s="14">
        <v>180</v>
      </c>
      <c r="P41" s="14">
        <v>60</v>
      </c>
      <c r="Q41" s="11">
        <v>1E-3</v>
      </c>
      <c r="R41" s="14">
        <v>3</v>
      </c>
      <c r="S41" s="14">
        <v>1500</v>
      </c>
      <c r="T41" s="11">
        <v>0.1</v>
      </c>
      <c r="U41" s="122">
        <v>193742</v>
      </c>
      <c r="V41" s="35"/>
      <c r="W41" s="99">
        <f t="shared" si="0"/>
        <v>2157</v>
      </c>
      <c r="X41" s="100">
        <f t="shared" si="1"/>
        <v>65.696899999999999</v>
      </c>
      <c r="Y41" s="100">
        <f t="shared" si="2"/>
        <v>23.0961</v>
      </c>
      <c r="Z41" s="22">
        <f t="shared" si="3"/>
        <v>8195</v>
      </c>
      <c r="AA41" s="35">
        <f t="shared" si="4"/>
        <v>0</v>
      </c>
      <c r="AB41" s="22">
        <f t="shared" si="5"/>
        <v>8</v>
      </c>
      <c r="AC41" s="120">
        <f>ROUND(I41+mwreg!$G$11/100,3)</f>
        <v>-0.67400000000000004</v>
      </c>
      <c r="AD41" s="106">
        <f>ROUND(J41+mwreg!$G$11/100,3)</f>
        <v>0.86399999999999999</v>
      </c>
      <c r="AE41" s="106">
        <f>ROUND(K41+mwreg!$G$11/100,3)</f>
        <v>0.10100000000000001</v>
      </c>
      <c r="AF41" s="100">
        <f t="shared" si="14"/>
        <v>0.17630000000000001</v>
      </c>
      <c r="AG41" s="100">
        <f t="shared" si="15"/>
        <v>8.9099999999999999E-2</v>
      </c>
      <c r="AH41" s="100">
        <f t="shared" si="43"/>
        <v>0.09</v>
      </c>
      <c r="AI41" s="22">
        <f t="shared" si="44"/>
        <v>180</v>
      </c>
      <c r="AJ41" s="22">
        <f t="shared" si="45"/>
        <v>60</v>
      </c>
      <c r="AK41" s="106">
        <f t="shared" si="46"/>
        <v>1E-3</v>
      </c>
      <c r="AL41" s="22">
        <f t="shared" si="47"/>
        <v>3</v>
      </c>
      <c r="AM41" s="22">
        <f t="shared" si="48"/>
        <v>1500</v>
      </c>
      <c r="AN41" s="106">
        <f t="shared" si="49"/>
        <v>0.1</v>
      </c>
      <c r="AO41" s="184">
        <f t="shared" si="50"/>
        <v>193742</v>
      </c>
    </row>
    <row r="42" spans="1:41" x14ac:dyDescent="0.2">
      <c r="A42" s="3" t="s">
        <v>296</v>
      </c>
      <c r="B42" s="3" t="s">
        <v>296</v>
      </c>
      <c r="C42" s="55">
        <v>2157</v>
      </c>
      <c r="D42" s="79">
        <v>65.696899999999999</v>
      </c>
      <c r="E42" s="79">
        <v>23.0961</v>
      </c>
      <c r="F42" s="14">
        <v>8195</v>
      </c>
      <c r="G42" s="10">
        <v>0</v>
      </c>
      <c r="H42" s="122">
        <v>9</v>
      </c>
      <c r="I42" s="165">
        <v>-0.84299999999999997</v>
      </c>
      <c r="J42" s="11">
        <v>1.371</v>
      </c>
      <c r="K42" s="11">
        <v>0.13500000000000001</v>
      </c>
      <c r="L42" s="79">
        <v>0.23169999999999999</v>
      </c>
      <c r="M42" s="79">
        <v>3.2099999999999997E-2</v>
      </c>
      <c r="N42" s="79">
        <v>3.3000000000000002E-2</v>
      </c>
      <c r="O42" s="14">
        <v>180</v>
      </c>
      <c r="P42" s="14">
        <v>60</v>
      </c>
      <c r="Q42" s="11">
        <v>1E-3</v>
      </c>
      <c r="R42" s="14">
        <v>3</v>
      </c>
      <c r="S42" s="14">
        <v>1500</v>
      </c>
      <c r="T42" s="11">
        <v>0.1</v>
      </c>
      <c r="U42" s="122">
        <v>224079</v>
      </c>
      <c r="V42" s="35"/>
      <c r="W42" s="99">
        <f t="shared" ref="W42:W73" si="51">C42</f>
        <v>2157</v>
      </c>
      <c r="X42" s="100">
        <f t="shared" ref="X42:X73" si="52">D42</f>
        <v>65.696899999999999</v>
      </c>
      <c r="Y42" s="100">
        <f t="shared" ref="Y42:Y73" si="53">E42</f>
        <v>23.0961</v>
      </c>
      <c r="Z42" s="22">
        <f t="shared" ref="Z42:Z73" si="54">F42</f>
        <v>8195</v>
      </c>
      <c r="AA42" s="35">
        <f t="shared" ref="AA42:AA73" si="55">G42</f>
        <v>0</v>
      </c>
      <c r="AB42" s="22">
        <f t="shared" ref="AB42:AB73" si="56">H42</f>
        <v>9</v>
      </c>
      <c r="AC42" s="120">
        <f>ROUND(I42+mwreg!$G$11/100,3)</f>
        <v>-0.79</v>
      </c>
      <c r="AD42" s="106">
        <f>ROUND(J42+mwreg!$G$11/100,3)</f>
        <v>1.4239999999999999</v>
      </c>
      <c r="AE42" s="106">
        <f>ROUND(K42+mwreg!$G$11/100,3)</f>
        <v>0.188</v>
      </c>
      <c r="AF42" s="100">
        <f t="shared" si="14"/>
        <v>0.23169999999999999</v>
      </c>
      <c r="AG42" s="100">
        <f t="shared" si="15"/>
        <v>3.2099999999999997E-2</v>
      </c>
      <c r="AH42" s="100">
        <f t="shared" si="43"/>
        <v>3.3000000000000002E-2</v>
      </c>
      <c r="AI42" s="22">
        <f t="shared" si="44"/>
        <v>180</v>
      </c>
      <c r="AJ42" s="22">
        <f t="shared" si="45"/>
        <v>60</v>
      </c>
      <c r="AK42" s="106">
        <f t="shared" si="46"/>
        <v>1E-3</v>
      </c>
      <c r="AL42" s="22">
        <f t="shared" si="47"/>
        <v>3</v>
      </c>
      <c r="AM42" s="22">
        <f t="shared" si="48"/>
        <v>1500</v>
      </c>
      <c r="AN42" s="106">
        <f t="shared" si="49"/>
        <v>0.1</v>
      </c>
      <c r="AO42" s="184">
        <f t="shared" si="50"/>
        <v>224079</v>
      </c>
    </row>
    <row r="43" spans="1:41" x14ac:dyDescent="0.2">
      <c r="A43" s="3" t="s">
        <v>296</v>
      </c>
      <c r="B43" s="3" t="s">
        <v>296</v>
      </c>
      <c r="C43" s="55">
        <v>2157</v>
      </c>
      <c r="D43" s="79">
        <v>65.696899999999999</v>
      </c>
      <c r="E43" s="79">
        <v>23.0961</v>
      </c>
      <c r="F43" s="14">
        <v>8195</v>
      </c>
      <c r="G43" s="10">
        <v>0</v>
      </c>
      <c r="H43" s="122">
        <v>10</v>
      </c>
      <c r="I43" s="165">
        <v>-1.0029999999999999</v>
      </c>
      <c r="J43" s="11">
        <v>1.3320000000000001</v>
      </c>
      <c r="K43" s="11">
        <v>0.1</v>
      </c>
      <c r="L43" s="79">
        <v>0.28770000000000001</v>
      </c>
      <c r="M43" s="79">
        <v>1.7000000000000001E-2</v>
      </c>
      <c r="N43" s="79">
        <v>1.7999999999999999E-2</v>
      </c>
      <c r="O43" s="14">
        <v>180</v>
      </c>
      <c r="P43" s="14">
        <v>60</v>
      </c>
      <c r="Q43" s="11">
        <v>1E-3</v>
      </c>
      <c r="R43" s="14">
        <v>3</v>
      </c>
      <c r="S43" s="14">
        <v>1500</v>
      </c>
      <c r="T43" s="11">
        <v>0.1</v>
      </c>
      <c r="U43" s="122">
        <v>238075</v>
      </c>
      <c r="V43" s="35"/>
      <c r="W43" s="99">
        <f t="shared" si="51"/>
        <v>2157</v>
      </c>
      <c r="X43" s="100">
        <f t="shared" si="52"/>
        <v>65.696899999999999</v>
      </c>
      <c r="Y43" s="100">
        <f t="shared" si="53"/>
        <v>23.0961</v>
      </c>
      <c r="Z43" s="22">
        <f t="shared" si="54"/>
        <v>8195</v>
      </c>
      <c r="AA43" s="35">
        <f t="shared" si="55"/>
        <v>0</v>
      </c>
      <c r="AB43" s="22">
        <f t="shared" si="56"/>
        <v>10</v>
      </c>
      <c r="AC43" s="120">
        <f>ROUND(I43+mwreg!$G$11/100,3)</f>
        <v>-0.95</v>
      </c>
      <c r="AD43" s="106">
        <f>ROUND(J43+mwreg!$G$11/100,3)</f>
        <v>1.385</v>
      </c>
      <c r="AE43" s="106">
        <f>ROUND(K43+mwreg!$G$11/100,3)</f>
        <v>0.153</v>
      </c>
      <c r="AF43" s="100">
        <f t="shared" si="14"/>
        <v>0.28770000000000001</v>
      </c>
      <c r="AG43" s="100">
        <f t="shared" si="15"/>
        <v>1.7000000000000001E-2</v>
      </c>
      <c r="AH43" s="100">
        <f t="shared" si="43"/>
        <v>1.7999999999999999E-2</v>
      </c>
      <c r="AI43" s="22">
        <f t="shared" si="44"/>
        <v>180</v>
      </c>
      <c r="AJ43" s="22">
        <f t="shared" si="45"/>
        <v>60</v>
      </c>
      <c r="AK43" s="106">
        <f t="shared" si="46"/>
        <v>1E-3</v>
      </c>
      <c r="AL43" s="22">
        <f t="shared" si="47"/>
        <v>3</v>
      </c>
      <c r="AM43" s="22">
        <f t="shared" si="48"/>
        <v>1500</v>
      </c>
      <c r="AN43" s="106">
        <f t="shared" si="49"/>
        <v>0.1</v>
      </c>
      <c r="AO43" s="184">
        <f t="shared" si="50"/>
        <v>238075</v>
      </c>
    </row>
    <row r="44" spans="1:41" x14ac:dyDescent="0.2">
      <c r="A44" s="3" t="s">
        <v>296</v>
      </c>
      <c r="B44" s="3" t="s">
        <v>296</v>
      </c>
      <c r="C44" s="55">
        <v>2157</v>
      </c>
      <c r="D44" s="79">
        <v>65.696899999999999</v>
      </c>
      <c r="E44" s="79">
        <v>23.0961</v>
      </c>
      <c r="F44" s="14">
        <v>8195</v>
      </c>
      <c r="G44" s="10">
        <v>0</v>
      </c>
      <c r="H44" s="122">
        <v>11</v>
      </c>
      <c r="I44" s="165">
        <v>-1.071</v>
      </c>
      <c r="J44" s="11">
        <v>1.4610000000000001</v>
      </c>
      <c r="K44" s="11">
        <v>0.13300000000000001</v>
      </c>
      <c r="L44" s="79">
        <v>0.33579999999999999</v>
      </c>
      <c r="M44" s="79">
        <v>4.8800000000000003E-2</v>
      </c>
      <c r="N44" s="79">
        <v>0.05</v>
      </c>
      <c r="O44" s="14">
        <v>180</v>
      </c>
      <c r="P44" s="14">
        <v>60</v>
      </c>
      <c r="Q44" s="11">
        <v>1E-3</v>
      </c>
      <c r="R44" s="14">
        <v>3</v>
      </c>
      <c r="S44" s="14">
        <v>1500</v>
      </c>
      <c r="T44" s="11">
        <v>0.1</v>
      </c>
      <c r="U44" s="122">
        <v>229036</v>
      </c>
      <c r="V44" s="35"/>
      <c r="W44" s="99">
        <f t="shared" si="51"/>
        <v>2157</v>
      </c>
      <c r="X44" s="100">
        <f t="shared" si="52"/>
        <v>65.696899999999999</v>
      </c>
      <c r="Y44" s="100">
        <f t="shared" si="53"/>
        <v>23.0961</v>
      </c>
      <c r="Z44" s="22">
        <f t="shared" si="54"/>
        <v>8195</v>
      </c>
      <c r="AA44" s="35">
        <f t="shared" si="55"/>
        <v>0</v>
      </c>
      <c r="AB44" s="22">
        <f t="shared" si="56"/>
        <v>11</v>
      </c>
      <c r="AC44" s="120">
        <f>ROUND(I44+mwreg!$G$11/100,3)</f>
        <v>-1.018</v>
      </c>
      <c r="AD44" s="106">
        <f>ROUND(J44+mwreg!$G$11/100,3)</f>
        <v>1.514</v>
      </c>
      <c r="AE44" s="106">
        <f>ROUND(K44+mwreg!$G$11/100,3)</f>
        <v>0.186</v>
      </c>
      <c r="AF44" s="100">
        <f t="shared" si="14"/>
        <v>0.33579999999999999</v>
      </c>
      <c r="AG44" s="100">
        <f t="shared" si="15"/>
        <v>4.8800000000000003E-2</v>
      </c>
      <c r="AH44" s="100">
        <f t="shared" si="43"/>
        <v>0.05</v>
      </c>
      <c r="AI44" s="22">
        <f t="shared" si="44"/>
        <v>180</v>
      </c>
      <c r="AJ44" s="22">
        <f t="shared" si="45"/>
        <v>60</v>
      </c>
      <c r="AK44" s="106">
        <f t="shared" si="46"/>
        <v>1E-3</v>
      </c>
      <c r="AL44" s="22">
        <f t="shared" si="47"/>
        <v>3</v>
      </c>
      <c r="AM44" s="22">
        <f t="shared" si="48"/>
        <v>1500</v>
      </c>
      <c r="AN44" s="106">
        <f t="shared" si="49"/>
        <v>0.1</v>
      </c>
      <c r="AO44" s="184">
        <f t="shared" si="50"/>
        <v>229036</v>
      </c>
    </row>
    <row r="45" spans="1:41" x14ac:dyDescent="0.2">
      <c r="A45" s="3" t="s">
        <v>296</v>
      </c>
      <c r="B45" s="3" t="s">
        <v>296</v>
      </c>
      <c r="C45" s="55">
        <v>2157</v>
      </c>
      <c r="D45" s="79">
        <v>65.696899999999999</v>
      </c>
      <c r="E45" s="79">
        <v>23.0961</v>
      </c>
      <c r="F45" s="14">
        <v>8195</v>
      </c>
      <c r="G45" s="10">
        <v>0</v>
      </c>
      <c r="H45" s="122">
        <v>12</v>
      </c>
      <c r="I45" s="165">
        <v>-0.99299999999999999</v>
      </c>
      <c r="J45" s="11">
        <v>1.484</v>
      </c>
      <c r="K45" s="11">
        <v>0.21199999999999999</v>
      </c>
      <c r="L45" s="79">
        <v>0.32090000000000002</v>
      </c>
      <c r="M45" s="79">
        <v>7.5399999999999995E-2</v>
      </c>
      <c r="N45" s="79">
        <v>7.6499999999999999E-2</v>
      </c>
      <c r="O45" s="14">
        <v>180</v>
      </c>
      <c r="P45" s="14">
        <v>60</v>
      </c>
      <c r="Q45" s="11">
        <v>1E-3</v>
      </c>
      <c r="R45" s="14">
        <v>3</v>
      </c>
      <c r="S45" s="14">
        <v>1500</v>
      </c>
      <c r="T45" s="11">
        <v>0.1</v>
      </c>
      <c r="U45" s="122">
        <v>193788</v>
      </c>
      <c r="V45" s="35"/>
      <c r="W45" s="99">
        <f t="shared" si="51"/>
        <v>2157</v>
      </c>
      <c r="X45" s="100">
        <f t="shared" si="52"/>
        <v>65.696899999999999</v>
      </c>
      <c r="Y45" s="100">
        <f t="shared" si="53"/>
        <v>23.0961</v>
      </c>
      <c r="Z45" s="22">
        <f t="shared" si="54"/>
        <v>8195</v>
      </c>
      <c r="AA45" s="35">
        <f t="shared" si="55"/>
        <v>0</v>
      </c>
      <c r="AB45" s="22">
        <f t="shared" si="56"/>
        <v>12</v>
      </c>
      <c r="AC45" s="120">
        <f>ROUND(I45+mwreg!$G$11/100,3)</f>
        <v>-0.94</v>
      </c>
      <c r="AD45" s="106">
        <f>ROUND(J45+mwreg!$G$11/100,3)</f>
        <v>1.5369999999999999</v>
      </c>
      <c r="AE45" s="106">
        <f>ROUND(K45+mwreg!$G$11/100,3)</f>
        <v>0.26500000000000001</v>
      </c>
      <c r="AF45" s="100">
        <f t="shared" si="14"/>
        <v>0.32090000000000002</v>
      </c>
      <c r="AG45" s="100">
        <f t="shared" si="15"/>
        <v>7.5399999999999995E-2</v>
      </c>
      <c r="AH45" s="100">
        <f t="shared" si="43"/>
        <v>7.6499999999999999E-2</v>
      </c>
      <c r="AI45" s="22">
        <f t="shared" si="44"/>
        <v>180</v>
      </c>
      <c r="AJ45" s="22">
        <f t="shared" si="45"/>
        <v>60</v>
      </c>
      <c r="AK45" s="106">
        <f t="shared" si="46"/>
        <v>1E-3</v>
      </c>
      <c r="AL45" s="22">
        <f t="shared" si="47"/>
        <v>3</v>
      </c>
      <c r="AM45" s="22">
        <f t="shared" si="48"/>
        <v>1500</v>
      </c>
      <c r="AN45" s="106">
        <f t="shared" si="49"/>
        <v>0.1</v>
      </c>
      <c r="AO45" s="184">
        <f t="shared" si="50"/>
        <v>193788</v>
      </c>
    </row>
    <row r="46" spans="1:41" x14ac:dyDescent="0.2">
      <c r="A46" s="3" t="str">
        <f>stat_uppg!A12</f>
        <v>115/35183</v>
      </c>
      <c r="B46" s="3" t="str">
        <f>stat_uppg!B12</f>
        <v>STRÖMÖREN (SJÖV)</v>
      </c>
      <c r="C46" s="52">
        <v>35183</v>
      </c>
      <c r="D46" s="105">
        <v>65.549700000000001</v>
      </c>
      <c r="E46" s="105">
        <v>22.238299999999999</v>
      </c>
      <c r="F46" s="20">
        <v>8195</v>
      </c>
      <c r="G46" s="18">
        <v>0</v>
      </c>
      <c r="H46" s="53">
        <v>1</v>
      </c>
      <c r="I46" s="167">
        <f>ROUND(0.812*I34+0.188*I58,3)</f>
        <v>-1.2010000000000001</v>
      </c>
      <c r="J46" s="104">
        <f>ROUND(0.812*J34+0.188*J58,3)</f>
        <v>1.7110000000000001</v>
      </c>
      <c r="K46" s="104">
        <f>ROUND(0.812*K34+0.188*K58,3)</f>
        <v>0.23599999999999999</v>
      </c>
      <c r="L46" s="105">
        <f>ROUND(0.812*L34+0.188*L58,4)</f>
        <v>0.35930000000000001</v>
      </c>
      <c r="M46" s="105">
        <f t="shared" ref="M46:N46" si="57">ROUND(0.812*M34+0.188*M58,4)</f>
        <v>2.47E-2</v>
      </c>
      <c r="N46" s="105">
        <f t="shared" si="57"/>
        <v>2.6100000000000002E-2</v>
      </c>
      <c r="O46" s="20">
        <f>ROUND(0.812*O34+0.188*O58,0)</f>
        <v>180</v>
      </c>
      <c r="P46" s="20">
        <f>ROUND(0.812*P34+0.188*P58,0)</f>
        <v>60</v>
      </c>
      <c r="Q46" s="104">
        <f>ROUND(0.812*Q34+0.188*Q58,3)</f>
        <v>1E-3</v>
      </c>
      <c r="R46" s="20">
        <f>ROUND(0.812*R34+0.188*R58,0)</f>
        <v>3</v>
      </c>
      <c r="S46" s="20">
        <f>ROUND(0.812*S34+0.188*S58,0)</f>
        <v>1500</v>
      </c>
      <c r="T46" s="104">
        <f>ROUND(0.812*T34+0.188*T58,3)</f>
        <v>0.1</v>
      </c>
      <c r="U46" s="54" t="s">
        <v>282</v>
      </c>
      <c r="V46" s="21"/>
      <c r="W46" s="58">
        <f t="shared" si="51"/>
        <v>35183</v>
      </c>
      <c r="X46" s="102">
        <f t="shared" si="52"/>
        <v>65.549700000000001</v>
      </c>
      <c r="Y46" s="102">
        <f t="shared" si="53"/>
        <v>22.238299999999999</v>
      </c>
      <c r="Z46" s="21">
        <f t="shared" si="54"/>
        <v>8195</v>
      </c>
      <c r="AA46" s="44">
        <f t="shared" si="55"/>
        <v>0</v>
      </c>
      <c r="AB46" s="21">
        <f t="shared" si="56"/>
        <v>1</v>
      </c>
      <c r="AC46" s="121">
        <f>ROUND(I46+mwreg!$G$12/100,3)</f>
        <v>-1.157</v>
      </c>
      <c r="AD46" s="101">
        <f>ROUND(J46+mwreg!$G$12/100,3)</f>
        <v>1.7549999999999999</v>
      </c>
      <c r="AE46" s="101">
        <f>ROUND(K46+mwreg!$G$12/100,3)</f>
        <v>0.28000000000000003</v>
      </c>
      <c r="AF46" s="102">
        <f t="shared" si="14"/>
        <v>0.35930000000000001</v>
      </c>
      <c r="AG46" s="102">
        <f t="shared" si="15"/>
        <v>2.47E-2</v>
      </c>
      <c r="AH46" s="102">
        <f t="shared" si="43"/>
        <v>2.6100000000000002E-2</v>
      </c>
      <c r="AI46" s="21">
        <f t="shared" si="44"/>
        <v>180</v>
      </c>
      <c r="AJ46" s="21">
        <f t="shared" si="45"/>
        <v>60</v>
      </c>
      <c r="AK46" s="101">
        <f t="shared" si="46"/>
        <v>1E-3</v>
      </c>
      <c r="AL46" s="21">
        <f t="shared" si="47"/>
        <v>3</v>
      </c>
      <c r="AM46" s="21">
        <f t="shared" si="48"/>
        <v>1500</v>
      </c>
      <c r="AN46" s="101">
        <f t="shared" si="49"/>
        <v>0.1</v>
      </c>
      <c r="AO46" s="185" t="str">
        <f t="shared" ref="AO46:AO109" si="58">U46</f>
        <v>NaN</v>
      </c>
    </row>
    <row r="47" spans="1:41" x14ac:dyDescent="0.2">
      <c r="A47" s="3" t="s">
        <v>296</v>
      </c>
      <c r="B47" s="3" t="s">
        <v>296</v>
      </c>
      <c r="C47" s="52">
        <v>35183</v>
      </c>
      <c r="D47" s="105">
        <v>65.549700000000001</v>
      </c>
      <c r="E47" s="105">
        <v>22.238299999999999</v>
      </c>
      <c r="F47" s="20">
        <v>8195</v>
      </c>
      <c r="G47" s="18">
        <v>0</v>
      </c>
      <c r="H47" s="53">
        <v>2</v>
      </c>
      <c r="I47" s="167">
        <f t="shared" ref="I47:K57" si="59">ROUND(0.812*I35+0.188*I59,3)</f>
        <v>-0.92500000000000004</v>
      </c>
      <c r="J47" s="104">
        <f t="shared" si="59"/>
        <v>1.4339999999999999</v>
      </c>
      <c r="K47" s="104">
        <f t="shared" si="59"/>
        <v>0.17199999999999999</v>
      </c>
      <c r="L47" s="105">
        <f t="shared" ref="L47:N57" si="60">ROUND(0.812*L35+0.188*L59,4)</f>
        <v>0.38690000000000002</v>
      </c>
      <c r="M47" s="105">
        <f t="shared" si="60"/>
        <v>1.5299999999999999E-2</v>
      </c>
      <c r="N47" s="105">
        <f t="shared" si="60"/>
        <v>1.66E-2</v>
      </c>
      <c r="O47" s="20">
        <f t="shared" ref="O47:P47" si="61">ROUND(0.812*O35+0.188*O59,0)</f>
        <v>180</v>
      </c>
      <c r="P47" s="20">
        <f t="shared" si="61"/>
        <v>60</v>
      </c>
      <c r="Q47" s="104">
        <f t="shared" ref="Q47:Q57" si="62">ROUND(0.812*Q35+0.188*Q59,3)</f>
        <v>1E-3</v>
      </c>
      <c r="R47" s="20">
        <f t="shared" ref="R47:S47" si="63">ROUND(0.812*R35+0.188*R59,0)</f>
        <v>3</v>
      </c>
      <c r="S47" s="20">
        <f t="shared" si="63"/>
        <v>1500</v>
      </c>
      <c r="T47" s="104">
        <f t="shared" ref="T47:T57" si="64">ROUND(0.812*T35+0.188*T59,3)</f>
        <v>0.1</v>
      </c>
      <c r="U47" s="54" t="s">
        <v>282</v>
      </c>
      <c r="V47" s="21"/>
      <c r="W47" s="58">
        <f t="shared" si="51"/>
        <v>35183</v>
      </c>
      <c r="X47" s="102">
        <f t="shared" si="52"/>
        <v>65.549700000000001</v>
      </c>
      <c r="Y47" s="102">
        <f t="shared" si="53"/>
        <v>22.238299999999999</v>
      </c>
      <c r="Z47" s="21">
        <f t="shared" si="54"/>
        <v>8195</v>
      </c>
      <c r="AA47" s="44">
        <f t="shared" si="55"/>
        <v>0</v>
      </c>
      <c r="AB47" s="21">
        <f t="shared" si="56"/>
        <v>2</v>
      </c>
      <c r="AC47" s="121">
        <f>ROUND(I47+mwreg!$G$12/100,3)</f>
        <v>-0.88100000000000001</v>
      </c>
      <c r="AD47" s="101">
        <f>ROUND(J47+mwreg!$G$12/100,3)</f>
        <v>1.478</v>
      </c>
      <c r="AE47" s="101">
        <f>ROUND(K47+mwreg!$G$12/100,3)</f>
        <v>0.216</v>
      </c>
      <c r="AF47" s="102">
        <f t="shared" si="14"/>
        <v>0.38690000000000002</v>
      </c>
      <c r="AG47" s="102">
        <f t="shared" si="15"/>
        <v>1.5299999999999999E-2</v>
      </c>
      <c r="AH47" s="102">
        <f t="shared" si="43"/>
        <v>1.66E-2</v>
      </c>
      <c r="AI47" s="21">
        <f t="shared" si="44"/>
        <v>180</v>
      </c>
      <c r="AJ47" s="21">
        <f t="shared" si="45"/>
        <v>60</v>
      </c>
      <c r="AK47" s="101">
        <f t="shared" si="46"/>
        <v>1E-3</v>
      </c>
      <c r="AL47" s="21">
        <f t="shared" si="47"/>
        <v>3</v>
      </c>
      <c r="AM47" s="21">
        <f t="shared" si="48"/>
        <v>1500</v>
      </c>
      <c r="AN47" s="101">
        <f t="shared" si="49"/>
        <v>0.1</v>
      </c>
      <c r="AO47" s="185" t="str">
        <f t="shared" si="58"/>
        <v>NaN</v>
      </c>
    </row>
    <row r="48" spans="1:41" x14ac:dyDescent="0.2">
      <c r="A48" s="3" t="s">
        <v>296</v>
      </c>
      <c r="B48" s="3" t="s">
        <v>296</v>
      </c>
      <c r="C48" s="52">
        <v>35183</v>
      </c>
      <c r="D48" s="105">
        <v>65.549700000000001</v>
      </c>
      <c r="E48" s="105">
        <v>22.238299999999999</v>
      </c>
      <c r="F48" s="20">
        <v>8195</v>
      </c>
      <c r="G48" s="18">
        <v>0</v>
      </c>
      <c r="H48" s="53">
        <v>3</v>
      </c>
      <c r="I48" s="167">
        <f t="shared" si="59"/>
        <v>-0.89600000000000002</v>
      </c>
      <c r="J48" s="104">
        <f t="shared" si="59"/>
        <v>1.2609999999999999</v>
      </c>
      <c r="K48" s="104">
        <f t="shared" si="59"/>
        <v>7.9000000000000001E-2</v>
      </c>
      <c r="L48" s="105">
        <f t="shared" si="60"/>
        <v>0.31059999999999999</v>
      </c>
      <c r="M48" s="105">
        <f t="shared" si="60"/>
        <v>1.7399999999999999E-2</v>
      </c>
      <c r="N48" s="105">
        <f t="shared" si="60"/>
        <v>1.8499999999999999E-2</v>
      </c>
      <c r="O48" s="20">
        <f t="shared" ref="O48:P48" si="65">ROUND(0.812*O36+0.188*O60,0)</f>
        <v>180</v>
      </c>
      <c r="P48" s="20">
        <f t="shared" si="65"/>
        <v>60</v>
      </c>
      <c r="Q48" s="104">
        <f t="shared" si="62"/>
        <v>1E-3</v>
      </c>
      <c r="R48" s="20">
        <f t="shared" ref="R48:S48" si="66">ROUND(0.812*R36+0.188*R60,0)</f>
        <v>3</v>
      </c>
      <c r="S48" s="20">
        <f t="shared" si="66"/>
        <v>1500</v>
      </c>
      <c r="T48" s="104">
        <f t="shared" si="64"/>
        <v>0.1</v>
      </c>
      <c r="U48" s="54" t="s">
        <v>282</v>
      </c>
      <c r="V48" s="21"/>
      <c r="W48" s="58">
        <f t="shared" si="51"/>
        <v>35183</v>
      </c>
      <c r="X48" s="102">
        <f t="shared" si="52"/>
        <v>65.549700000000001</v>
      </c>
      <c r="Y48" s="102">
        <f t="shared" si="53"/>
        <v>22.238299999999999</v>
      </c>
      <c r="Z48" s="21">
        <f t="shared" si="54"/>
        <v>8195</v>
      </c>
      <c r="AA48" s="44">
        <f t="shared" si="55"/>
        <v>0</v>
      </c>
      <c r="AB48" s="21">
        <f t="shared" si="56"/>
        <v>3</v>
      </c>
      <c r="AC48" s="121">
        <f>ROUND(I48+mwreg!$G$12/100,3)</f>
        <v>-0.85199999999999998</v>
      </c>
      <c r="AD48" s="101">
        <f>ROUND(J48+mwreg!$G$12/100,3)</f>
        <v>1.3049999999999999</v>
      </c>
      <c r="AE48" s="101">
        <f>ROUND(K48+mwreg!$G$12/100,3)</f>
        <v>0.123</v>
      </c>
      <c r="AF48" s="102">
        <f t="shared" si="14"/>
        <v>0.31059999999999999</v>
      </c>
      <c r="AG48" s="102">
        <f t="shared" si="15"/>
        <v>1.7399999999999999E-2</v>
      </c>
      <c r="AH48" s="102">
        <f t="shared" si="43"/>
        <v>1.8499999999999999E-2</v>
      </c>
      <c r="AI48" s="21">
        <f t="shared" si="44"/>
        <v>180</v>
      </c>
      <c r="AJ48" s="21">
        <f t="shared" si="45"/>
        <v>60</v>
      </c>
      <c r="AK48" s="101">
        <f t="shared" si="46"/>
        <v>1E-3</v>
      </c>
      <c r="AL48" s="21">
        <f t="shared" si="47"/>
        <v>3</v>
      </c>
      <c r="AM48" s="21">
        <f t="shared" si="48"/>
        <v>1500</v>
      </c>
      <c r="AN48" s="101">
        <f t="shared" si="49"/>
        <v>0.1</v>
      </c>
      <c r="AO48" s="185" t="str">
        <f t="shared" si="58"/>
        <v>NaN</v>
      </c>
    </row>
    <row r="49" spans="1:41" x14ac:dyDescent="0.2">
      <c r="A49" s="3" t="s">
        <v>296</v>
      </c>
      <c r="B49" s="3" t="s">
        <v>296</v>
      </c>
      <c r="C49" s="52">
        <v>35183</v>
      </c>
      <c r="D49" s="105">
        <v>65.549700000000001</v>
      </c>
      <c r="E49" s="105">
        <v>22.238299999999999</v>
      </c>
      <c r="F49" s="20">
        <v>8195</v>
      </c>
      <c r="G49" s="18">
        <v>0</v>
      </c>
      <c r="H49" s="53">
        <v>4</v>
      </c>
      <c r="I49" s="167">
        <f t="shared" si="59"/>
        <v>-1.151</v>
      </c>
      <c r="J49" s="104">
        <f t="shared" si="59"/>
        <v>0.84799999999999998</v>
      </c>
      <c r="K49" s="104">
        <f t="shared" si="59"/>
        <v>-9.9000000000000005E-2</v>
      </c>
      <c r="L49" s="105">
        <f t="shared" si="60"/>
        <v>0.23830000000000001</v>
      </c>
      <c r="M49" s="105">
        <f t="shared" si="60"/>
        <v>1.43E-2</v>
      </c>
      <c r="N49" s="105">
        <f t="shared" si="60"/>
        <v>1.54E-2</v>
      </c>
      <c r="O49" s="20">
        <f t="shared" ref="O49:P49" si="67">ROUND(0.812*O37+0.188*O61,0)</f>
        <v>180</v>
      </c>
      <c r="P49" s="20">
        <f t="shared" si="67"/>
        <v>60</v>
      </c>
      <c r="Q49" s="104">
        <f t="shared" si="62"/>
        <v>1E-3</v>
      </c>
      <c r="R49" s="20">
        <f t="shared" ref="R49:S49" si="68">ROUND(0.812*R37+0.188*R61,0)</f>
        <v>3</v>
      </c>
      <c r="S49" s="20">
        <f t="shared" si="68"/>
        <v>1500</v>
      </c>
      <c r="T49" s="104">
        <f t="shared" si="64"/>
        <v>0.1</v>
      </c>
      <c r="U49" s="54" t="s">
        <v>282</v>
      </c>
      <c r="V49" s="21"/>
      <c r="W49" s="58">
        <f t="shared" si="51"/>
        <v>35183</v>
      </c>
      <c r="X49" s="102">
        <f t="shared" si="52"/>
        <v>65.549700000000001</v>
      </c>
      <c r="Y49" s="102">
        <f t="shared" si="53"/>
        <v>22.238299999999999</v>
      </c>
      <c r="Z49" s="21">
        <f t="shared" si="54"/>
        <v>8195</v>
      </c>
      <c r="AA49" s="44">
        <f t="shared" si="55"/>
        <v>0</v>
      </c>
      <c r="AB49" s="21">
        <f t="shared" si="56"/>
        <v>4</v>
      </c>
      <c r="AC49" s="121">
        <f>ROUND(I49+mwreg!$G$12/100,3)</f>
        <v>-1.107</v>
      </c>
      <c r="AD49" s="101">
        <f>ROUND(J49+mwreg!$G$12/100,3)</f>
        <v>0.89200000000000002</v>
      </c>
      <c r="AE49" s="101">
        <f>ROUND(K49+mwreg!$G$12/100,3)</f>
        <v>-5.5E-2</v>
      </c>
      <c r="AF49" s="102">
        <f t="shared" si="14"/>
        <v>0.23830000000000001</v>
      </c>
      <c r="AG49" s="102">
        <f t="shared" si="15"/>
        <v>1.43E-2</v>
      </c>
      <c r="AH49" s="102">
        <f t="shared" si="43"/>
        <v>1.54E-2</v>
      </c>
      <c r="AI49" s="21">
        <f t="shared" si="44"/>
        <v>180</v>
      </c>
      <c r="AJ49" s="21">
        <f t="shared" si="45"/>
        <v>60</v>
      </c>
      <c r="AK49" s="101">
        <f t="shared" si="46"/>
        <v>1E-3</v>
      </c>
      <c r="AL49" s="21">
        <f t="shared" si="47"/>
        <v>3</v>
      </c>
      <c r="AM49" s="21">
        <f t="shared" si="48"/>
        <v>1500</v>
      </c>
      <c r="AN49" s="101">
        <f t="shared" si="49"/>
        <v>0.1</v>
      </c>
      <c r="AO49" s="185" t="str">
        <f t="shared" si="58"/>
        <v>NaN</v>
      </c>
    </row>
    <row r="50" spans="1:41" x14ac:dyDescent="0.2">
      <c r="A50" s="3" t="s">
        <v>296</v>
      </c>
      <c r="B50" s="3" t="s">
        <v>296</v>
      </c>
      <c r="C50" s="52">
        <v>35183</v>
      </c>
      <c r="D50" s="105">
        <v>65.549700000000001</v>
      </c>
      <c r="E50" s="105">
        <v>22.238299999999999</v>
      </c>
      <c r="F50" s="20">
        <v>8195</v>
      </c>
      <c r="G50" s="18">
        <v>0</v>
      </c>
      <c r="H50" s="53">
        <v>5</v>
      </c>
      <c r="I50" s="167">
        <f t="shared" si="59"/>
        <v>-0.92400000000000004</v>
      </c>
      <c r="J50" s="104">
        <f t="shared" si="59"/>
        <v>0.83799999999999997</v>
      </c>
      <c r="K50" s="104">
        <f t="shared" si="59"/>
        <v>-5.8999999999999997E-2</v>
      </c>
      <c r="L50" s="105">
        <f t="shared" si="60"/>
        <v>0.1971</v>
      </c>
      <c r="M50" s="105">
        <f t="shared" si="60"/>
        <v>2.5899999999999999E-2</v>
      </c>
      <c r="N50" s="105">
        <f t="shared" si="60"/>
        <v>2.7199999999999998E-2</v>
      </c>
      <c r="O50" s="20">
        <f t="shared" ref="O50:P50" si="69">ROUND(0.812*O38+0.188*O62,0)</f>
        <v>180</v>
      </c>
      <c r="P50" s="20">
        <f t="shared" si="69"/>
        <v>60</v>
      </c>
      <c r="Q50" s="104">
        <f t="shared" si="62"/>
        <v>1E-3</v>
      </c>
      <c r="R50" s="20">
        <f t="shared" ref="R50:S50" si="70">ROUND(0.812*R38+0.188*R62,0)</f>
        <v>3</v>
      </c>
      <c r="S50" s="20">
        <f t="shared" si="70"/>
        <v>1500</v>
      </c>
      <c r="T50" s="104">
        <f t="shared" si="64"/>
        <v>0.1</v>
      </c>
      <c r="U50" s="54" t="s">
        <v>282</v>
      </c>
      <c r="V50" s="21"/>
      <c r="W50" s="58">
        <f t="shared" si="51"/>
        <v>35183</v>
      </c>
      <c r="X50" s="102">
        <f t="shared" si="52"/>
        <v>65.549700000000001</v>
      </c>
      <c r="Y50" s="102">
        <f t="shared" si="53"/>
        <v>22.238299999999999</v>
      </c>
      <c r="Z50" s="21">
        <f t="shared" si="54"/>
        <v>8195</v>
      </c>
      <c r="AA50" s="44">
        <f t="shared" si="55"/>
        <v>0</v>
      </c>
      <c r="AB50" s="21">
        <f t="shared" si="56"/>
        <v>5</v>
      </c>
      <c r="AC50" s="121">
        <f>ROUND(I50+mwreg!$G$12/100,3)</f>
        <v>-0.88</v>
      </c>
      <c r="AD50" s="101">
        <f>ROUND(J50+mwreg!$G$12/100,3)</f>
        <v>0.88200000000000001</v>
      </c>
      <c r="AE50" s="101">
        <f>ROUND(K50+mwreg!$G$12/100,3)</f>
        <v>-1.4999999999999999E-2</v>
      </c>
      <c r="AF50" s="102">
        <f t="shared" si="14"/>
        <v>0.1971</v>
      </c>
      <c r="AG50" s="102">
        <f t="shared" si="15"/>
        <v>2.5899999999999999E-2</v>
      </c>
      <c r="AH50" s="102">
        <f t="shared" si="43"/>
        <v>2.7199999999999998E-2</v>
      </c>
      <c r="AI50" s="21">
        <f t="shared" si="44"/>
        <v>180</v>
      </c>
      <c r="AJ50" s="21">
        <f t="shared" si="45"/>
        <v>60</v>
      </c>
      <c r="AK50" s="101">
        <f t="shared" si="46"/>
        <v>1E-3</v>
      </c>
      <c r="AL50" s="21">
        <f t="shared" si="47"/>
        <v>3</v>
      </c>
      <c r="AM50" s="21">
        <f t="shared" si="48"/>
        <v>1500</v>
      </c>
      <c r="AN50" s="101">
        <f t="shared" si="49"/>
        <v>0.1</v>
      </c>
      <c r="AO50" s="185" t="str">
        <f t="shared" si="58"/>
        <v>NaN</v>
      </c>
    </row>
    <row r="51" spans="1:41" x14ac:dyDescent="0.2">
      <c r="A51" s="3" t="s">
        <v>296</v>
      </c>
      <c r="B51" s="3" t="s">
        <v>296</v>
      </c>
      <c r="C51" s="52">
        <v>35183</v>
      </c>
      <c r="D51" s="105">
        <v>65.549700000000001</v>
      </c>
      <c r="E51" s="105">
        <v>22.238299999999999</v>
      </c>
      <c r="F51" s="20">
        <v>8195</v>
      </c>
      <c r="G51" s="18">
        <v>0</v>
      </c>
      <c r="H51" s="53">
        <v>6</v>
      </c>
      <c r="I51" s="167">
        <f t="shared" si="59"/>
        <v>-0.65300000000000002</v>
      </c>
      <c r="J51" s="104">
        <f t="shared" si="59"/>
        <v>0.71299999999999997</v>
      </c>
      <c r="K51" s="104">
        <f t="shared" si="59"/>
        <v>-0.05</v>
      </c>
      <c r="L51" s="105">
        <f t="shared" si="60"/>
        <v>0.16719999999999999</v>
      </c>
      <c r="M51" s="105">
        <f t="shared" si="60"/>
        <v>1.5800000000000002E-2</v>
      </c>
      <c r="N51" s="105">
        <f t="shared" si="60"/>
        <v>1.6899999999999998E-2</v>
      </c>
      <c r="O51" s="20">
        <f t="shared" ref="O51:P51" si="71">ROUND(0.812*O39+0.188*O63,0)</f>
        <v>180</v>
      </c>
      <c r="P51" s="20">
        <f t="shared" si="71"/>
        <v>60</v>
      </c>
      <c r="Q51" s="104">
        <f t="shared" si="62"/>
        <v>1E-3</v>
      </c>
      <c r="R51" s="20">
        <f t="shared" ref="R51:S51" si="72">ROUND(0.812*R39+0.188*R63,0)</f>
        <v>3</v>
      </c>
      <c r="S51" s="20">
        <f t="shared" si="72"/>
        <v>1500</v>
      </c>
      <c r="T51" s="104">
        <f t="shared" si="64"/>
        <v>0.1</v>
      </c>
      <c r="U51" s="54" t="s">
        <v>282</v>
      </c>
      <c r="V51" s="21"/>
      <c r="W51" s="58">
        <f t="shared" si="51"/>
        <v>35183</v>
      </c>
      <c r="X51" s="102">
        <f t="shared" si="52"/>
        <v>65.549700000000001</v>
      </c>
      <c r="Y51" s="102">
        <f t="shared" si="53"/>
        <v>22.238299999999999</v>
      </c>
      <c r="Z51" s="21">
        <f t="shared" si="54"/>
        <v>8195</v>
      </c>
      <c r="AA51" s="44">
        <f t="shared" si="55"/>
        <v>0</v>
      </c>
      <c r="AB51" s="21">
        <f t="shared" si="56"/>
        <v>6</v>
      </c>
      <c r="AC51" s="121">
        <f>ROUND(I51+mwreg!$G$12/100,3)</f>
        <v>-0.60899999999999999</v>
      </c>
      <c r="AD51" s="101">
        <f>ROUND(J51+mwreg!$G$12/100,3)</f>
        <v>0.75700000000000001</v>
      </c>
      <c r="AE51" s="101">
        <f>ROUND(K51+mwreg!$G$12/100,3)</f>
        <v>-6.0000000000000001E-3</v>
      </c>
      <c r="AF51" s="102">
        <f t="shared" si="14"/>
        <v>0.16719999999999999</v>
      </c>
      <c r="AG51" s="102">
        <f t="shared" si="15"/>
        <v>1.5800000000000002E-2</v>
      </c>
      <c r="AH51" s="102">
        <f t="shared" si="43"/>
        <v>1.6899999999999998E-2</v>
      </c>
      <c r="AI51" s="21">
        <f t="shared" si="44"/>
        <v>180</v>
      </c>
      <c r="AJ51" s="21">
        <f t="shared" si="45"/>
        <v>60</v>
      </c>
      <c r="AK51" s="101">
        <f t="shared" si="46"/>
        <v>1E-3</v>
      </c>
      <c r="AL51" s="21">
        <f t="shared" si="47"/>
        <v>3</v>
      </c>
      <c r="AM51" s="21">
        <f t="shared" si="48"/>
        <v>1500</v>
      </c>
      <c r="AN51" s="101">
        <f t="shared" si="49"/>
        <v>0.1</v>
      </c>
      <c r="AO51" s="185" t="str">
        <f t="shared" si="58"/>
        <v>NaN</v>
      </c>
    </row>
    <row r="52" spans="1:41" x14ac:dyDescent="0.2">
      <c r="A52" s="3" t="s">
        <v>296</v>
      </c>
      <c r="B52" s="3" t="s">
        <v>296</v>
      </c>
      <c r="C52" s="52">
        <v>35183</v>
      </c>
      <c r="D52" s="105">
        <v>65.549700000000001</v>
      </c>
      <c r="E52" s="105">
        <v>22.238299999999999</v>
      </c>
      <c r="F52" s="20">
        <v>8195</v>
      </c>
      <c r="G52" s="18">
        <v>0</v>
      </c>
      <c r="H52" s="53">
        <v>7</v>
      </c>
      <c r="I52" s="167">
        <f t="shared" si="59"/>
        <v>-0.97299999999999998</v>
      </c>
      <c r="J52" s="104">
        <f t="shared" si="59"/>
        <v>0.57699999999999996</v>
      </c>
      <c r="K52" s="104">
        <f t="shared" si="59"/>
        <v>4.5999999999999999E-2</v>
      </c>
      <c r="L52" s="105">
        <f t="shared" si="60"/>
        <v>0.1656</v>
      </c>
      <c r="M52" s="105">
        <f t="shared" si="60"/>
        <v>3.3599999999999998E-2</v>
      </c>
      <c r="N52" s="105">
        <f t="shared" si="60"/>
        <v>3.4700000000000002E-2</v>
      </c>
      <c r="O52" s="20">
        <f t="shared" ref="O52:P52" si="73">ROUND(0.812*O40+0.188*O64,0)</f>
        <v>180</v>
      </c>
      <c r="P52" s="20">
        <f t="shared" si="73"/>
        <v>60</v>
      </c>
      <c r="Q52" s="104">
        <f t="shared" si="62"/>
        <v>1E-3</v>
      </c>
      <c r="R52" s="20">
        <f t="shared" ref="R52:S52" si="74">ROUND(0.812*R40+0.188*R64,0)</f>
        <v>3</v>
      </c>
      <c r="S52" s="20">
        <f t="shared" si="74"/>
        <v>1500</v>
      </c>
      <c r="T52" s="104">
        <f t="shared" si="64"/>
        <v>0.1</v>
      </c>
      <c r="U52" s="54" t="s">
        <v>282</v>
      </c>
      <c r="V52" s="21"/>
      <c r="W52" s="58">
        <f t="shared" si="51"/>
        <v>35183</v>
      </c>
      <c r="X52" s="102">
        <f t="shared" si="52"/>
        <v>65.549700000000001</v>
      </c>
      <c r="Y52" s="102">
        <f t="shared" si="53"/>
        <v>22.238299999999999</v>
      </c>
      <c r="Z52" s="21">
        <f t="shared" si="54"/>
        <v>8195</v>
      </c>
      <c r="AA52" s="44">
        <f t="shared" si="55"/>
        <v>0</v>
      </c>
      <c r="AB52" s="21">
        <f t="shared" si="56"/>
        <v>7</v>
      </c>
      <c r="AC52" s="121">
        <f>ROUND(I52+mwreg!$G$12/100,3)</f>
        <v>-0.92900000000000005</v>
      </c>
      <c r="AD52" s="101">
        <f>ROUND(J52+mwreg!$G$12/100,3)</f>
        <v>0.621</v>
      </c>
      <c r="AE52" s="101">
        <f>ROUND(K52+mwreg!$G$12/100,3)</f>
        <v>0.09</v>
      </c>
      <c r="AF52" s="102">
        <f t="shared" si="14"/>
        <v>0.1656</v>
      </c>
      <c r="AG52" s="102">
        <f t="shared" si="15"/>
        <v>3.3599999999999998E-2</v>
      </c>
      <c r="AH52" s="102">
        <f t="shared" si="43"/>
        <v>3.4700000000000002E-2</v>
      </c>
      <c r="AI52" s="21">
        <f t="shared" si="44"/>
        <v>180</v>
      </c>
      <c r="AJ52" s="21">
        <f t="shared" si="45"/>
        <v>60</v>
      </c>
      <c r="AK52" s="101">
        <f t="shared" si="46"/>
        <v>1E-3</v>
      </c>
      <c r="AL52" s="21">
        <f t="shared" si="47"/>
        <v>3</v>
      </c>
      <c r="AM52" s="21">
        <f t="shared" si="48"/>
        <v>1500</v>
      </c>
      <c r="AN52" s="101">
        <f t="shared" si="49"/>
        <v>0.1</v>
      </c>
      <c r="AO52" s="185" t="str">
        <f t="shared" si="58"/>
        <v>NaN</v>
      </c>
    </row>
    <row r="53" spans="1:41" x14ac:dyDescent="0.2">
      <c r="A53" s="3" t="s">
        <v>296</v>
      </c>
      <c r="B53" s="3" t="s">
        <v>296</v>
      </c>
      <c r="C53" s="52">
        <v>35183</v>
      </c>
      <c r="D53" s="105">
        <v>65.549700000000001</v>
      </c>
      <c r="E53" s="105">
        <v>22.238299999999999</v>
      </c>
      <c r="F53" s="20">
        <v>8195</v>
      </c>
      <c r="G53" s="18">
        <v>0</v>
      </c>
      <c r="H53" s="53">
        <v>8</v>
      </c>
      <c r="I53" s="167">
        <f t="shared" si="59"/>
        <v>-0.74399999999999999</v>
      </c>
      <c r="J53" s="104">
        <f t="shared" si="59"/>
        <v>0.77800000000000002</v>
      </c>
      <c r="K53" s="104">
        <f t="shared" si="59"/>
        <v>0.05</v>
      </c>
      <c r="L53" s="105">
        <f t="shared" si="60"/>
        <v>0.1729</v>
      </c>
      <c r="M53" s="105">
        <f t="shared" si="60"/>
        <v>0.1016</v>
      </c>
      <c r="N53" s="105">
        <f t="shared" si="60"/>
        <v>0.1032</v>
      </c>
      <c r="O53" s="20">
        <f t="shared" ref="O53:P53" si="75">ROUND(0.812*O41+0.188*O65,0)</f>
        <v>180</v>
      </c>
      <c r="P53" s="20">
        <f t="shared" si="75"/>
        <v>60</v>
      </c>
      <c r="Q53" s="104">
        <f t="shared" si="62"/>
        <v>1E-3</v>
      </c>
      <c r="R53" s="20">
        <f t="shared" ref="R53:S53" si="76">ROUND(0.812*R41+0.188*R65,0)</f>
        <v>3</v>
      </c>
      <c r="S53" s="20">
        <f t="shared" si="76"/>
        <v>1500</v>
      </c>
      <c r="T53" s="104">
        <f t="shared" si="64"/>
        <v>0.1</v>
      </c>
      <c r="U53" s="54" t="s">
        <v>282</v>
      </c>
      <c r="V53" s="21"/>
      <c r="W53" s="58">
        <f t="shared" si="51"/>
        <v>35183</v>
      </c>
      <c r="X53" s="102">
        <f t="shared" si="52"/>
        <v>65.549700000000001</v>
      </c>
      <c r="Y53" s="102">
        <f t="shared" si="53"/>
        <v>22.238299999999999</v>
      </c>
      <c r="Z53" s="21">
        <f t="shared" si="54"/>
        <v>8195</v>
      </c>
      <c r="AA53" s="44">
        <f t="shared" si="55"/>
        <v>0</v>
      </c>
      <c r="AB53" s="21">
        <f t="shared" si="56"/>
        <v>8</v>
      </c>
      <c r="AC53" s="121">
        <f>ROUND(I53+mwreg!$G$12/100,3)</f>
        <v>-0.7</v>
      </c>
      <c r="AD53" s="101">
        <f>ROUND(J53+mwreg!$G$12/100,3)</f>
        <v>0.82199999999999995</v>
      </c>
      <c r="AE53" s="101">
        <f>ROUND(K53+mwreg!$G$12/100,3)</f>
        <v>9.4E-2</v>
      </c>
      <c r="AF53" s="102">
        <f t="shared" si="14"/>
        <v>0.1729</v>
      </c>
      <c r="AG53" s="102">
        <f t="shared" si="15"/>
        <v>0.1016</v>
      </c>
      <c r="AH53" s="102">
        <f t="shared" si="43"/>
        <v>0.1032</v>
      </c>
      <c r="AI53" s="21">
        <f t="shared" si="44"/>
        <v>180</v>
      </c>
      <c r="AJ53" s="21">
        <f t="shared" si="45"/>
        <v>60</v>
      </c>
      <c r="AK53" s="101">
        <f t="shared" si="46"/>
        <v>1E-3</v>
      </c>
      <c r="AL53" s="21">
        <f t="shared" si="47"/>
        <v>3</v>
      </c>
      <c r="AM53" s="21">
        <f t="shared" si="48"/>
        <v>1500</v>
      </c>
      <c r="AN53" s="101">
        <f t="shared" si="49"/>
        <v>0.1</v>
      </c>
      <c r="AO53" s="185" t="str">
        <f t="shared" si="58"/>
        <v>NaN</v>
      </c>
    </row>
    <row r="54" spans="1:41" x14ac:dyDescent="0.2">
      <c r="A54" s="3" t="s">
        <v>296</v>
      </c>
      <c r="B54" s="3" t="s">
        <v>296</v>
      </c>
      <c r="C54" s="52">
        <v>35183</v>
      </c>
      <c r="D54" s="105">
        <v>65.549700000000001</v>
      </c>
      <c r="E54" s="105">
        <v>22.238299999999999</v>
      </c>
      <c r="F54" s="20">
        <v>8195</v>
      </c>
      <c r="G54" s="18">
        <v>0</v>
      </c>
      <c r="H54" s="53">
        <v>9</v>
      </c>
      <c r="I54" s="167">
        <f t="shared" si="59"/>
        <v>-0.84899999999999998</v>
      </c>
      <c r="J54" s="104">
        <f t="shared" si="59"/>
        <v>1.3069999999999999</v>
      </c>
      <c r="K54" s="104">
        <f t="shared" si="59"/>
        <v>0.13</v>
      </c>
      <c r="L54" s="105">
        <f t="shared" si="60"/>
        <v>0.22539999999999999</v>
      </c>
      <c r="M54" s="105">
        <f t="shared" si="60"/>
        <v>3.73E-2</v>
      </c>
      <c r="N54" s="105">
        <f t="shared" si="60"/>
        <v>3.8800000000000001E-2</v>
      </c>
      <c r="O54" s="20">
        <f t="shared" ref="O54:P54" si="77">ROUND(0.812*O42+0.188*O66,0)</f>
        <v>180</v>
      </c>
      <c r="P54" s="20">
        <f t="shared" si="77"/>
        <v>60</v>
      </c>
      <c r="Q54" s="104">
        <f t="shared" si="62"/>
        <v>1E-3</v>
      </c>
      <c r="R54" s="20">
        <f t="shared" ref="R54:S54" si="78">ROUND(0.812*R42+0.188*R66,0)</f>
        <v>3</v>
      </c>
      <c r="S54" s="20">
        <f t="shared" si="78"/>
        <v>1500</v>
      </c>
      <c r="T54" s="104">
        <f t="shared" si="64"/>
        <v>0.1</v>
      </c>
      <c r="U54" s="54" t="s">
        <v>282</v>
      </c>
      <c r="V54" s="21"/>
      <c r="W54" s="58">
        <f t="shared" si="51"/>
        <v>35183</v>
      </c>
      <c r="X54" s="102">
        <f t="shared" si="52"/>
        <v>65.549700000000001</v>
      </c>
      <c r="Y54" s="102">
        <f t="shared" si="53"/>
        <v>22.238299999999999</v>
      </c>
      <c r="Z54" s="21">
        <f t="shared" si="54"/>
        <v>8195</v>
      </c>
      <c r="AA54" s="44">
        <f t="shared" si="55"/>
        <v>0</v>
      </c>
      <c r="AB54" s="21">
        <f t="shared" si="56"/>
        <v>9</v>
      </c>
      <c r="AC54" s="121">
        <f>ROUND(I54+mwreg!$G$12/100,3)</f>
        <v>-0.80500000000000005</v>
      </c>
      <c r="AD54" s="101">
        <f>ROUND(J54+mwreg!$G$12/100,3)</f>
        <v>1.351</v>
      </c>
      <c r="AE54" s="101">
        <f>ROUND(K54+mwreg!$G$12/100,3)</f>
        <v>0.17399999999999999</v>
      </c>
      <c r="AF54" s="102">
        <f t="shared" si="14"/>
        <v>0.22539999999999999</v>
      </c>
      <c r="AG54" s="102">
        <f t="shared" si="15"/>
        <v>3.73E-2</v>
      </c>
      <c r="AH54" s="102">
        <f t="shared" si="43"/>
        <v>3.8800000000000001E-2</v>
      </c>
      <c r="AI54" s="21">
        <f t="shared" si="44"/>
        <v>180</v>
      </c>
      <c r="AJ54" s="21">
        <f t="shared" si="45"/>
        <v>60</v>
      </c>
      <c r="AK54" s="101">
        <f t="shared" si="46"/>
        <v>1E-3</v>
      </c>
      <c r="AL54" s="21">
        <f t="shared" si="47"/>
        <v>3</v>
      </c>
      <c r="AM54" s="21">
        <f t="shared" si="48"/>
        <v>1500</v>
      </c>
      <c r="AN54" s="101">
        <f t="shared" si="49"/>
        <v>0.1</v>
      </c>
      <c r="AO54" s="185" t="str">
        <f t="shared" si="58"/>
        <v>NaN</v>
      </c>
    </row>
    <row r="55" spans="1:41" x14ac:dyDescent="0.2">
      <c r="A55" s="3" t="s">
        <v>296</v>
      </c>
      <c r="B55" s="3" t="s">
        <v>296</v>
      </c>
      <c r="C55" s="52">
        <v>35183</v>
      </c>
      <c r="D55" s="105">
        <v>65.549700000000001</v>
      </c>
      <c r="E55" s="105">
        <v>22.238299999999999</v>
      </c>
      <c r="F55" s="20">
        <v>8195</v>
      </c>
      <c r="G55" s="18">
        <v>0</v>
      </c>
      <c r="H55" s="53">
        <v>10</v>
      </c>
      <c r="I55" s="167">
        <f t="shared" si="59"/>
        <v>-0.98</v>
      </c>
      <c r="J55" s="104">
        <f t="shared" si="59"/>
        <v>1.2789999999999999</v>
      </c>
      <c r="K55" s="104">
        <f t="shared" si="59"/>
        <v>9.8000000000000004E-2</v>
      </c>
      <c r="L55" s="105">
        <f t="shared" si="60"/>
        <v>0.28000000000000003</v>
      </c>
      <c r="M55" s="105">
        <f t="shared" si="60"/>
        <v>2.3E-2</v>
      </c>
      <c r="N55" s="105">
        <f t="shared" si="60"/>
        <v>2.46E-2</v>
      </c>
      <c r="O55" s="20">
        <f t="shared" ref="O55:P55" si="79">ROUND(0.812*O43+0.188*O67,0)</f>
        <v>180</v>
      </c>
      <c r="P55" s="20">
        <f t="shared" si="79"/>
        <v>60</v>
      </c>
      <c r="Q55" s="104">
        <f t="shared" si="62"/>
        <v>1E-3</v>
      </c>
      <c r="R55" s="20">
        <f t="shared" ref="R55:S55" si="80">ROUND(0.812*R43+0.188*R67,0)</f>
        <v>3</v>
      </c>
      <c r="S55" s="20">
        <f t="shared" si="80"/>
        <v>1500</v>
      </c>
      <c r="T55" s="104">
        <f t="shared" si="64"/>
        <v>0.1</v>
      </c>
      <c r="U55" s="54" t="s">
        <v>282</v>
      </c>
      <c r="V55" s="21"/>
      <c r="W55" s="58">
        <f t="shared" si="51"/>
        <v>35183</v>
      </c>
      <c r="X55" s="102">
        <f t="shared" si="52"/>
        <v>65.549700000000001</v>
      </c>
      <c r="Y55" s="102">
        <f t="shared" si="53"/>
        <v>22.238299999999999</v>
      </c>
      <c r="Z55" s="21">
        <f t="shared" si="54"/>
        <v>8195</v>
      </c>
      <c r="AA55" s="44">
        <f t="shared" si="55"/>
        <v>0</v>
      </c>
      <c r="AB55" s="21">
        <f t="shared" si="56"/>
        <v>10</v>
      </c>
      <c r="AC55" s="121">
        <f>ROUND(I55+mwreg!$G$12/100,3)</f>
        <v>-0.93600000000000005</v>
      </c>
      <c r="AD55" s="101">
        <f>ROUND(J55+mwreg!$G$12/100,3)</f>
        <v>1.323</v>
      </c>
      <c r="AE55" s="101">
        <f>ROUND(K55+mwreg!$G$12/100,3)</f>
        <v>0.14199999999999999</v>
      </c>
      <c r="AF55" s="102">
        <f t="shared" si="14"/>
        <v>0.28000000000000003</v>
      </c>
      <c r="AG55" s="102">
        <f t="shared" si="15"/>
        <v>2.3E-2</v>
      </c>
      <c r="AH55" s="102">
        <f t="shared" si="43"/>
        <v>2.46E-2</v>
      </c>
      <c r="AI55" s="21">
        <f t="shared" si="44"/>
        <v>180</v>
      </c>
      <c r="AJ55" s="21">
        <f t="shared" si="45"/>
        <v>60</v>
      </c>
      <c r="AK55" s="101">
        <f t="shared" si="46"/>
        <v>1E-3</v>
      </c>
      <c r="AL55" s="21">
        <f t="shared" si="47"/>
        <v>3</v>
      </c>
      <c r="AM55" s="21">
        <f t="shared" si="48"/>
        <v>1500</v>
      </c>
      <c r="AN55" s="101">
        <f t="shared" si="49"/>
        <v>0.1</v>
      </c>
      <c r="AO55" s="185" t="str">
        <f t="shared" si="58"/>
        <v>NaN</v>
      </c>
    </row>
    <row r="56" spans="1:41" x14ac:dyDescent="0.2">
      <c r="A56" s="3" t="s">
        <v>296</v>
      </c>
      <c r="B56" s="3" t="s">
        <v>296</v>
      </c>
      <c r="C56" s="52">
        <v>35183</v>
      </c>
      <c r="D56" s="105">
        <v>65.549700000000001</v>
      </c>
      <c r="E56" s="105">
        <v>22.238299999999999</v>
      </c>
      <c r="F56" s="20">
        <v>8195</v>
      </c>
      <c r="G56" s="18">
        <v>0</v>
      </c>
      <c r="H56" s="53">
        <v>11</v>
      </c>
      <c r="I56" s="167">
        <f t="shared" si="59"/>
        <v>-1.042</v>
      </c>
      <c r="J56" s="104">
        <f t="shared" si="59"/>
        <v>1.387</v>
      </c>
      <c r="K56" s="104">
        <f t="shared" si="59"/>
        <v>0.127</v>
      </c>
      <c r="L56" s="105">
        <f t="shared" si="60"/>
        <v>0.3261</v>
      </c>
      <c r="M56" s="105">
        <f t="shared" si="60"/>
        <v>5.0900000000000001E-2</v>
      </c>
      <c r="N56" s="105">
        <f t="shared" si="60"/>
        <v>5.28E-2</v>
      </c>
      <c r="O56" s="20">
        <f t="shared" ref="O56:P56" si="81">ROUND(0.812*O44+0.188*O68,0)</f>
        <v>180</v>
      </c>
      <c r="P56" s="20">
        <f t="shared" si="81"/>
        <v>60</v>
      </c>
      <c r="Q56" s="104">
        <f t="shared" si="62"/>
        <v>1E-3</v>
      </c>
      <c r="R56" s="20">
        <f t="shared" ref="R56:S56" si="82">ROUND(0.812*R44+0.188*R68,0)</f>
        <v>3</v>
      </c>
      <c r="S56" s="20">
        <f t="shared" si="82"/>
        <v>1500</v>
      </c>
      <c r="T56" s="104">
        <f t="shared" si="64"/>
        <v>0.1</v>
      </c>
      <c r="U56" s="54" t="s">
        <v>282</v>
      </c>
      <c r="V56" s="21"/>
      <c r="W56" s="58">
        <f t="shared" si="51"/>
        <v>35183</v>
      </c>
      <c r="X56" s="102">
        <f t="shared" si="52"/>
        <v>65.549700000000001</v>
      </c>
      <c r="Y56" s="102">
        <f t="shared" si="53"/>
        <v>22.238299999999999</v>
      </c>
      <c r="Z56" s="21">
        <f t="shared" si="54"/>
        <v>8195</v>
      </c>
      <c r="AA56" s="44">
        <f t="shared" si="55"/>
        <v>0</v>
      </c>
      <c r="AB56" s="21">
        <f t="shared" si="56"/>
        <v>11</v>
      </c>
      <c r="AC56" s="121">
        <f>ROUND(I56+mwreg!$G$12/100,3)</f>
        <v>-0.998</v>
      </c>
      <c r="AD56" s="101">
        <f>ROUND(J56+mwreg!$G$12/100,3)</f>
        <v>1.431</v>
      </c>
      <c r="AE56" s="101">
        <f>ROUND(K56+mwreg!$G$12/100,3)</f>
        <v>0.17100000000000001</v>
      </c>
      <c r="AF56" s="102">
        <f t="shared" si="14"/>
        <v>0.3261</v>
      </c>
      <c r="AG56" s="102">
        <f t="shared" si="15"/>
        <v>5.0900000000000001E-2</v>
      </c>
      <c r="AH56" s="102">
        <f t="shared" si="43"/>
        <v>5.28E-2</v>
      </c>
      <c r="AI56" s="21">
        <f t="shared" si="44"/>
        <v>180</v>
      </c>
      <c r="AJ56" s="21">
        <f t="shared" si="45"/>
        <v>60</v>
      </c>
      <c r="AK56" s="101">
        <f t="shared" si="46"/>
        <v>1E-3</v>
      </c>
      <c r="AL56" s="21">
        <f t="shared" si="47"/>
        <v>3</v>
      </c>
      <c r="AM56" s="21">
        <f t="shared" si="48"/>
        <v>1500</v>
      </c>
      <c r="AN56" s="101">
        <f t="shared" si="49"/>
        <v>0.1</v>
      </c>
      <c r="AO56" s="185" t="str">
        <f t="shared" si="58"/>
        <v>NaN</v>
      </c>
    </row>
    <row r="57" spans="1:41" x14ac:dyDescent="0.2">
      <c r="A57" s="3" t="s">
        <v>296</v>
      </c>
      <c r="B57" s="3" t="s">
        <v>296</v>
      </c>
      <c r="C57" s="52">
        <v>35183</v>
      </c>
      <c r="D57" s="105">
        <v>65.549700000000001</v>
      </c>
      <c r="E57" s="105">
        <v>22.238299999999999</v>
      </c>
      <c r="F57" s="20">
        <v>8195</v>
      </c>
      <c r="G57" s="18">
        <v>0</v>
      </c>
      <c r="H57" s="53">
        <v>12</v>
      </c>
      <c r="I57" s="167">
        <f t="shared" si="59"/>
        <v>-0.97799999999999998</v>
      </c>
      <c r="J57" s="104">
        <f t="shared" si="59"/>
        <v>1.446</v>
      </c>
      <c r="K57" s="104">
        <f t="shared" si="59"/>
        <v>0.20499999999999999</v>
      </c>
      <c r="L57" s="105">
        <f t="shared" si="60"/>
        <v>0.31480000000000002</v>
      </c>
      <c r="M57" s="105">
        <f t="shared" si="60"/>
        <v>7.1099999999999997E-2</v>
      </c>
      <c r="N57" s="105">
        <f t="shared" si="60"/>
        <v>7.2800000000000004E-2</v>
      </c>
      <c r="O57" s="20">
        <f t="shared" ref="O57:P57" si="83">ROUND(0.812*O45+0.188*O69,0)</f>
        <v>180</v>
      </c>
      <c r="P57" s="20">
        <f t="shared" si="83"/>
        <v>60</v>
      </c>
      <c r="Q57" s="104">
        <f t="shared" si="62"/>
        <v>1E-3</v>
      </c>
      <c r="R57" s="20">
        <f t="shared" ref="R57:S57" si="84">ROUND(0.812*R45+0.188*R69,0)</f>
        <v>3</v>
      </c>
      <c r="S57" s="20">
        <f t="shared" si="84"/>
        <v>1500</v>
      </c>
      <c r="T57" s="104">
        <f t="shared" si="64"/>
        <v>0.1</v>
      </c>
      <c r="U57" s="54" t="s">
        <v>282</v>
      </c>
      <c r="V57" s="21"/>
      <c r="W57" s="58">
        <f t="shared" si="51"/>
        <v>35183</v>
      </c>
      <c r="X57" s="102">
        <f t="shared" si="52"/>
        <v>65.549700000000001</v>
      </c>
      <c r="Y57" s="102">
        <f t="shared" si="53"/>
        <v>22.238299999999999</v>
      </c>
      <c r="Z57" s="21">
        <f t="shared" si="54"/>
        <v>8195</v>
      </c>
      <c r="AA57" s="44">
        <f t="shared" si="55"/>
        <v>0</v>
      </c>
      <c r="AB57" s="21">
        <f t="shared" si="56"/>
        <v>12</v>
      </c>
      <c r="AC57" s="121">
        <f>ROUND(I57+mwreg!$G$12/100,3)</f>
        <v>-0.93400000000000005</v>
      </c>
      <c r="AD57" s="101">
        <f>ROUND(J57+mwreg!$G$12/100,3)</f>
        <v>1.49</v>
      </c>
      <c r="AE57" s="101">
        <f>ROUND(K57+mwreg!$G$12/100,3)</f>
        <v>0.249</v>
      </c>
      <c r="AF57" s="102">
        <f t="shared" si="14"/>
        <v>0.31480000000000002</v>
      </c>
      <c r="AG57" s="102">
        <f t="shared" si="15"/>
        <v>7.1099999999999997E-2</v>
      </c>
      <c r="AH57" s="102">
        <f t="shared" si="43"/>
        <v>7.2800000000000004E-2</v>
      </c>
      <c r="AI57" s="21">
        <f t="shared" si="44"/>
        <v>180</v>
      </c>
      <c r="AJ57" s="21">
        <f t="shared" si="45"/>
        <v>60</v>
      </c>
      <c r="AK57" s="101">
        <f t="shared" si="46"/>
        <v>1E-3</v>
      </c>
      <c r="AL57" s="21">
        <f t="shared" si="47"/>
        <v>3</v>
      </c>
      <c r="AM57" s="21">
        <f t="shared" si="48"/>
        <v>1500</v>
      </c>
      <c r="AN57" s="101">
        <f t="shared" si="49"/>
        <v>0.1</v>
      </c>
      <c r="AO57" s="185" t="str">
        <f t="shared" si="58"/>
        <v>NaN</v>
      </c>
    </row>
    <row r="58" spans="1:41" x14ac:dyDescent="0.2">
      <c r="A58" s="3" t="str">
        <f>stat_uppg!A13</f>
        <v>2055/33052</v>
      </c>
      <c r="B58" s="3" t="str">
        <f>stat_uppg!B13</f>
        <v>FURUÖGRUND (SMHI)</v>
      </c>
      <c r="C58" s="55">
        <v>2055</v>
      </c>
      <c r="D58" s="79">
        <v>64.915800000000004</v>
      </c>
      <c r="E58" s="79">
        <v>21.230599999999999</v>
      </c>
      <c r="F58" s="14">
        <v>8195</v>
      </c>
      <c r="G58" s="10">
        <v>0</v>
      </c>
      <c r="H58" s="122">
        <v>1</v>
      </c>
      <c r="I58" s="165">
        <v>-1.149</v>
      </c>
      <c r="J58" s="11">
        <v>1.476</v>
      </c>
      <c r="K58" s="11">
        <v>0.19900000000000001</v>
      </c>
      <c r="L58" s="79">
        <v>0.33489999999999998</v>
      </c>
      <c r="M58" s="79">
        <v>9.5600000000000004E-2</v>
      </c>
      <c r="N58" s="79">
        <v>0.1</v>
      </c>
      <c r="O58" s="14">
        <v>180</v>
      </c>
      <c r="P58" s="14">
        <v>60</v>
      </c>
      <c r="Q58" s="11">
        <v>1E-3</v>
      </c>
      <c r="R58" s="14">
        <v>3</v>
      </c>
      <c r="S58" s="14">
        <v>1500</v>
      </c>
      <c r="T58" s="11">
        <v>0.1</v>
      </c>
      <c r="U58" s="122">
        <v>245073</v>
      </c>
      <c r="V58" s="35"/>
      <c r="W58" s="99">
        <f t="shared" si="51"/>
        <v>2055</v>
      </c>
      <c r="X58" s="100">
        <f t="shared" si="52"/>
        <v>64.915800000000004</v>
      </c>
      <c r="Y58" s="100">
        <f t="shared" si="53"/>
        <v>21.230599999999999</v>
      </c>
      <c r="Z58" s="22">
        <f t="shared" si="54"/>
        <v>8195</v>
      </c>
      <c r="AA58" s="35">
        <f t="shared" si="55"/>
        <v>0</v>
      </c>
      <c r="AB58" s="22">
        <f t="shared" si="56"/>
        <v>1</v>
      </c>
      <c r="AC58" s="120">
        <f>ROUND(I58+mwreg!$G$13/100,3)</f>
        <v>-1.1439999999999999</v>
      </c>
      <c r="AD58" s="106">
        <f>ROUND(J58+mwreg!$G$13/100,3)</f>
        <v>1.4810000000000001</v>
      </c>
      <c r="AE58" s="106">
        <f>ROUND(K58+mwreg!$G$13/100,3)</f>
        <v>0.20399999999999999</v>
      </c>
      <c r="AF58" s="100">
        <f t="shared" si="14"/>
        <v>0.33489999999999998</v>
      </c>
      <c r="AG58" s="100">
        <f t="shared" si="15"/>
        <v>9.5600000000000004E-2</v>
      </c>
      <c r="AH58" s="100">
        <f t="shared" si="43"/>
        <v>0.1</v>
      </c>
      <c r="AI58" s="22">
        <f t="shared" si="44"/>
        <v>180</v>
      </c>
      <c r="AJ58" s="22">
        <f t="shared" si="45"/>
        <v>60</v>
      </c>
      <c r="AK58" s="106">
        <f t="shared" si="46"/>
        <v>1E-3</v>
      </c>
      <c r="AL58" s="22">
        <f t="shared" si="47"/>
        <v>3</v>
      </c>
      <c r="AM58" s="22">
        <f t="shared" si="48"/>
        <v>1500</v>
      </c>
      <c r="AN58" s="106">
        <f t="shared" si="49"/>
        <v>0.1</v>
      </c>
      <c r="AO58" s="184">
        <f t="shared" si="58"/>
        <v>245073</v>
      </c>
    </row>
    <row r="59" spans="1:41" x14ac:dyDescent="0.2">
      <c r="A59" s="3" t="s">
        <v>296</v>
      </c>
      <c r="B59" s="3" t="s">
        <v>296</v>
      </c>
      <c r="C59" s="55">
        <v>2055</v>
      </c>
      <c r="D59" s="79">
        <v>64.915800000000004</v>
      </c>
      <c r="E59" s="79">
        <v>21.230599999999999</v>
      </c>
      <c r="F59" s="14">
        <v>8195</v>
      </c>
      <c r="G59" s="10">
        <v>0</v>
      </c>
      <c r="H59" s="122">
        <v>2</v>
      </c>
      <c r="I59" s="165">
        <v>-1.2310000000000001</v>
      </c>
      <c r="J59" s="11">
        <v>1.423</v>
      </c>
      <c r="K59" s="11">
        <v>0.126</v>
      </c>
      <c r="L59" s="79">
        <v>0.36230000000000001</v>
      </c>
      <c r="M59" s="79">
        <v>6.6199999999999995E-2</v>
      </c>
      <c r="N59" s="79">
        <v>7.0000000000000007E-2</v>
      </c>
      <c r="O59" s="14">
        <v>180</v>
      </c>
      <c r="P59" s="14">
        <v>60</v>
      </c>
      <c r="Q59" s="11">
        <v>1E-3</v>
      </c>
      <c r="R59" s="14">
        <v>3</v>
      </c>
      <c r="S59" s="14">
        <v>1500</v>
      </c>
      <c r="T59" s="11">
        <v>0.1</v>
      </c>
      <c r="U59" s="122">
        <v>224173</v>
      </c>
      <c r="V59" s="35"/>
      <c r="W59" s="99">
        <f t="shared" si="51"/>
        <v>2055</v>
      </c>
      <c r="X59" s="100">
        <f t="shared" si="52"/>
        <v>64.915800000000004</v>
      </c>
      <c r="Y59" s="100">
        <f t="shared" si="53"/>
        <v>21.230599999999999</v>
      </c>
      <c r="Z59" s="22">
        <f t="shared" si="54"/>
        <v>8195</v>
      </c>
      <c r="AA59" s="35">
        <f t="shared" si="55"/>
        <v>0</v>
      </c>
      <c r="AB59" s="22">
        <f t="shared" si="56"/>
        <v>2</v>
      </c>
      <c r="AC59" s="120">
        <f>ROUND(I59+mwreg!$G$13/100,3)</f>
        <v>-1.226</v>
      </c>
      <c r="AD59" s="106">
        <f>ROUND(J59+mwreg!$G$13/100,3)</f>
        <v>1.4279999999999999</v>
      </c>
      <c r="AE59" s="106">
        <f>ROUND(K59+mwreg!$G$13/100,3)</f>
        <v>0.13100000000000001</v>
      </c>
      <c r="AF59" s="100">
        <f t="shared" si="14"/>
        <v>0.36230000000000001</v>
      </c>
      <c r="AG59" s="100">
        <f t="shared" si="15"/>
        <v>6.6199999999999995E-2</v>
      </c>
      <c r="AH59" s="100">
        <f t="shared" si="43"/>
        <v>7.0000000000000007E-2</v>
      </c>
      <c r="AI59" s="22">
        <f t="shared" si="44"/>
        <v>180</v>
      </c>
      <c r="AJ59" s="22">
        <f t="shared" si="45"/>
        <v>60</v>
      </c>
      <c r="AK59" s="106">
        <f t="shared" si="46"/>
        <v>1E-3</v>
      </c>
      <c r="AL59" s="22">
        <f t="shared" si="47"/>
        <v>3</v>
      </c>
      <c r="AM59" s="22">
        <f t="shared" si="48"/>
        <v>1500</v>
      </c>
      <c r="AN59" s="106">
        <f t="shared" si="49"/>
        <v>0.1</v>
      </c>
      <c r="AO59" s="184">
        <f t="shared" si="58"/>
        <v>224173</v>
      </c>
    </row>
    <row r="60" spans="1:41" x14ac:dyDescent="0.2">
      <c r="A60" s="3" t="s">
        <v>296</v>
      </c>
      <c r="B60" s="3" t="s">
        <v>296</v>
      </c>
      <c r="C60" s="55">
        <v>2055</v>
      </c>
      <c r="D60" s="79">
        <v>64.915800000000004</v>
      </c>
      <c r="E60" s="79">
        <v>21.230599999999999</v>
      </c>
      <c r="F60" s="14">
        <v>8195</v>
      </c>
      <c r="G60" s="10">
        <v>0</v>
      </c>
      <c r="H60" s="122">
        <v>3</v>
      </c>
      <c r="I60" s="165">
        <v>-0.86</v>
      </c>
      <c r="J60" s="11">
        <v>1.2250000000000001</v>
      </c>
      <c r="K60" s="11">
        <v>3.4000000000000002E-2</v>
      </c>
      <c r="L60" s="79">
        <v>0.29870000000000002</v>
      </c>
      <c r="M60" s="79">
        <v>6.3399999999999998E-2</v>
      </c>
      <c r="N60" s="79">
        <v>6.7000000000000004E-2</v>
      </c>
      <c r="O60" s="14">
        <v>180</v>
      </c>
      <c r="P60" s="14">
        <v>60</v>
      </c>
      <c r="Q60" s="11">
        <v>1E-3</v>
      </c>
      <c r="R60" s="14">
        <v>3</v>
      </c>
      <c r="S60" s="14">
        <v>1500</v>
      </c>
      <c r="T60" s="11">
        <v>0.1</v>
      </c>
      <c r="U60" s="122">
        <v>244537</v>
      </c>
      <c r="V60" s="35"/>
      <c r="W60" s="99">
        <f t="shared" si="51"/>
        <v>2055</v>
      </c>
      <c r="X60" s="100">
        <f t="shared" si="52"/>
        <v>64.915800000000004</v>
      </c>
      <c r="Y60" s="100">
        <f t="shared" si="53"/>
        <v>21.230599999999999</v>
      </c>
      <c r="Z60" s="22">
        <f t="shared" si="54"/>
        <v>8195</v>
      </c>
      <c r="AA60" s="35">
        <f t="shared" si="55"/>
        <v>0</v>
      </c>
      <c r="AB60" s="22">
        <f t="shared" si="56"/>
        <v>3</v>
      </c>
      <c r="AC60" s="120">
        <f>ROUND(I60+mwreg!$G$13/100,3)</f>
        <v>-0.85499999999999998</v>
      </c>
      <c r="AD60" s="106">
        <f>ROUND(J60+mwreg!$G$13/100,3)</f>
        <v>1.23</v>
      </c>
      <c r="AE60" s="106">
        <f>ROUND(K60+mwreg!$G$13/100,3)</f>
        <v>3.9E-2</v>
      </c>
      <c r="AF60" s="100">
        <f t="shared" si="14"/>
        <v>0.29870000000000002</v>
      </c>
      <c r="AG60" s="100">
        <f t="shared" si="15"/>
        <v>6.3399999999999998E-2</v>
      </c>
      <c r="AH60" s="100">
        <f t="shared" si="43"/>
        <v>6.7000000000000004E-2</v>
      </c>
      <c r="AI60" s="22">
        <f t="shared" si="44"/>
        <v>180</v>
      </c>
      <c r="AJ60" s="22">
        <f t="shared" si="45"/>
        <v>60</v>
      </c>
      <c r="AK60" s="106">
        <f t="shared" si="46"/>
        <v>1E-3</v>
      </c>
      <c r="AL60" s="22">
        <f t="shared" si="47"/>
        <v>3</v>
      </c>
      <c r="AM60" s="22">
        <f t="shared" si="48"/>
        <v>1500</v>
      </c>
      <c r="AN60" s="106">
        <f t="shared" si="49"/>
        <v>0.1</v>
      </c>
      <c r="AO60" s="184">
        <f t="shared" si="58"/>
        <v>244537</v>
      </c>
    </row>
    <row r="61" spans="1:41" x14ac:dyDescent="0.2">
      <c r="A61" s="3" t="s">
        <v>296</v>
      </c>
      <c r="B61" s="3" t="s">
        <v>296</v>
      </c>
      <c r="C61" s="55">
        <v>2055</v>
      </c>
      <c r="D61" s="79">
        <v>64.915800000000004</v>
      </c>
      <c r="E61" s="79">
        <v>21.230599999999999</v>
      </c>
      <c r="F61" s="14">
        <v>8195</v>
      </c>
      <c r="G61" s="10">
        <v>0</v>
      </c>
      <c r="H61" s="122">
        <v>4</v>
      </c>
      <c r="I61" s="165">
        <v>-1.052</v>
      </c>
      <c r="J61" s="11">
        <v>0.77600000000000002</v>
      </c>
      <c r="K61" s="11">
        <v>-9.6000000000000002E-2</v>
      </c>
      <c r="L61" s="79">
        <v>0.22</v>
      </c>
      <c r="M61" s="79">
        <v>5.2999999999999999E-2</v>
      </c>
      <c r="N61" s="79">
        <v>5.6000000000000001E-2</v>
      </c>
      <c r="O61" s="14">
        <v>180</v>
      </c>
      <c r="P61" s="14">
        <v>60</v>
      </c>
      <c r="Q61" s="11">
        <v>1E-3</v>
      </c>
      <c r="R61" s="14">
        <v>3</v>
      </c>
      <c r="S61" s="14">
        <v>1500</v>
      </c>
      <c r="T61" s="11">
        <v>0.1</v>
      </c>
      <c r="U61" s="122">
        <v>236234</v>
      </c>
      <c r="V61" s="35"/>
      <c r="W61" s="99">
        <f t="shared" si="51"/>
        <v>2055</v>
      </c>
      <c r="X61" s="100">
        <f t="shared" si="52"/>
        <v>64.915800000000004</v>
      </c>
      <c r="Y61" s="100">
        <f t="shared" si="53"/>
        <v>21.230599999999999</v>
      </c>
      <c r="Z61" s="22">
        <f t="shared" si="54"/>
        <v>8195</v>
      </c>
      <c r="AA61" s="35">
        <f t="shared" si="55"/>
        <v>0</v>
      </c>
      <c r="AB61" s="22">
        <f t="shared" si="56"/>
        <v>4</v>
      </c>
      <c r="AC61" s="120">
        <f>ROUND(I61+mwreg!$G$13/100,3)</f>
        <v>-1.0469999999999999</v>
      </c>
      <c r="AD61" s="106">
        <f>ROUND(J61+mwreg!$G$13/100,3)</f>
        <v>0.78100000000000003</v>
      </c>
      <c r="AE61" s="106">
        <f>ROUND(K61+mwreg!$G$13/100,3)</f>
        <v>-9.0999999999999998E-2</v>
      </c>
      <c r="AF61" s="100">
        <f t="shared" si="14"/>
        <v>0.22</v>
      </c>
      <c r="AG61" s="100">
        <f t="shared" si="15"/>
        <v>5.2999999999999999E-2</v>
      </c>
      <c r="AH61" s="100">
        <f t="shared" si="43"/>
        <v>5.6000000000000001E-2</v>
      </c>
      <c r="AI61" s="22">
        <f t="shared" si="44"/>
        <v>180</v>
      </c>
      <c r="AJ61" s="22">
        <f t="shared" si="45"/>
        <v>60</v>
      </c>
      <c r="AK61" s="106">
        <f t="shared" si="46"/>
        <v>1E-3</v>
      </c>
      <c r="AL61" s="22">
        <f t="shared" si="47"/>
        <v>3</v>
      </c>
      <c r="AM61" s="22">
        <f t="shared" si="48"/>
        <v>1500</v>
      </c>
      <c r="AN61" s="106">
        <f t="shared" si="49"/>
        <v>0.1</v>
      </c>
      <c r="AO61" s="184">
        <f t="shared" si="58"/>
        <v>236234</v>
      </c>
    </row>
    <row r="62" spans="1:41" x14ac:dyDescent="0.2">
      <c r="A62" s="3" t="s">
        <v>296</v>
      </c>
      <c r="B62" s="3" t="s">
        <v>296</v>
      </c>
      <c r="C62" s="55">
        <v>2055</v>
      </c>
      <c r="D62" s="79">
        <v>64.915800000000004</v>
      </c>
      <c r="E62" s="79">
        <v>21.230599999999999</v>
      </c>
      <c r="F62" s="14">
        <v>8195</v>
      </c>
      <c r="G62" s="10">
        <v>0</v>
      </c>
      <c r="H62" s="122">
        <v>5</v>
      </c>
      <c r="I62" s="165">
        <v>-0.90300000000000002</v>
      </c>
      <c r="J62" s="11">
        <v>0.59399999999999997</v>
      </c>
      <c r="K62" s="11">
        <v>-7.8E-2</v>
      </c>
      <c r="L62" s="79">
        <v>0.18329999999999999</v>
      </c>
      <c r="M62" s="79">
        <v>0.10639999999999999</v>
      </c>
      <c r="N62" s="79">
        <v>0.11</v>
      </c>
      <c r="O62" s="14">
        <v>180</v>
      </c>
      <c r="P62" s="14">
        <v>60</v>
      </c>
      <c r="Q62" s="11">
        <v>1E-3</v>
      </c>
      <c r="R62" s="14">
        <v>3</v>
      </c>
      <c r="S62" s="14">
        <v>1500</v>
      </c>
      <c r="T62" s="11">
        <v>0.1</v>
      </c>
      <c r="U62" s="122">
        <v>248797</v>
      </c>
      <c r="V62" s="35"/>
      <c r="W62" s="99">
        <f t="shared" si="51"/>
        <v>2055</v>
      </c>
      <c r="X62" s="100">
        <f t="shared" si="52"/>
        <v>64.915800000000004</v>
      </c>
      <c r="Y62" s="100">
        <f t="shared" si="53"/>
        <v>21.230599999999999</v>
      </c>
      <c r="Z62" s="22">
        <f t="shared" si="54"/>
        <v>8195</v>
      </c>
      <c r="AA62" s="35">
        <f t="shared" si="55"/>
        <v>0</v>
      </c>
      <c r="AB62" s="22">
        <f t="shared" si="56"/>
        <v>5</v>
      </c>
      <c r="AC62" s="120">
        <f>ROUND(I62+mwreg!$G$13/100,3)</f>
        <v>-0.89800000000000002</v>
      </c>
      <c r="AD62" s="106">
        <f>ROUND(J62+mwreg!$G$13/100,3)</f>
        <v>0.59899999999999998</v>
      </c>
      <c r="AE62" s="106">
        <f>ROUND(K62+mwreg!$G$13/100,3)</f>
        <v>-7.2999999999999995E-2</v>
      </c>
      <c r="AF62" s="100">
        <f t="shared" si="14"/>
        <v>0.18329999999999999</v>
      </c>
      <c r="AG62" s="100">
        <f t="shared" si="15"/>
        <v>0.10639999999999999</v>
      </c>
      <c r="AH62" s="100">
        <f t="shared" si="43"/>
        <v>0.11</v>
      </c>
      <c r="AI62" s="22">
        <f t="shared" si="44"/>
        <v>180</v>
      </c>
      <c r="AJ62" s="22">
        <f t="shared" si="45"/>
        <v>60</v>
      </c>
      <c r="AK62" s="106">
        <f t="shared" si="46"/>
        <v>1E-3</v>
      </c>
      <c r="AL62" s="22">
        <f t="shared" si="47"/>
        <v>3</v>
      </c>
      <c r="AM62" s="22">
        <f t="shared" si="48"/>
        <v>1500</v>
      </c>
      <c r="AN62" s="106">
        <f t="shared" si="49"/>
        <v>0.1</v>
      </c>
      <c r="AO62" s="184">
        <f t="shared" si="58"/>
        <v>248797</v>
      </c>
    </row>
    <row r="63" spans="1:41" x14ac:dyDescent="0.2">
      <c r="A63" s="3" t="s">
        <v>296</v>
      </c>
      <c r="B63" s="3" t="s">
        <v>296</v>
      </c>
      <c r="C63" s="55">
        <v>2055</v>
      </c>
      <c r="D63" s="79">
        <v>64.915800000000004</v>
      </c>
      <c r="E63" s="79">
        <v>21.230599999999999</v>
      </c>
      <c r="F63" s="14">
        <v>8195</v>
      </c>
      <c r="G63" s="10">
        <v>0</v>
      </c>
      <c r="H63" s="122">
        <v>6</v>
      </c>
      <c r="I63" s="165">
        <v>-0.58299999999999996</v>
      </c>
      <c r="J63" s="11">
        <v>0.63400000000000001</v>
      </c>
      <c r="K63" s="11">
        <v>-5.8000000000000003E-2</v>
      </c>
      <c r="L63" s="79">
        <v>0.15790000000000001</v>
      </c>
      <c r="M63" s="79">
        <v>5.8500000000000003E-2</v>
      </c>
      <c r="N63" s="79">
        <v>6.2E-2</v>
      </c>
      <c r="O63" s="14">
        <v>180</v>
      </c>
      <c r="P63" s="14">
        <v>60</v>
      </c>
      <c r="Q63" s="11">
        <v>1E-3</v>
      </c>
      <c r="R63" s="14">
        <v>3</v>
      </c>
      <c r="S63" s="14">
        <v>1500</v>
      </c>
      <c r="T63" s="11">
        <v>0.1</v>
      </c>
      <c r="U63" s="122">
        <v>274331</v>
      </c>
      <c r="V63" s="35"/>
      <c r="W63" s="99">
        <f t="shared" si="51"/>
        <v>2055</v>
      </c>
      <c r="X63" s="100">
        <f t="shared" si="52"/>
        <v>64.915800000000004</v>
      </c>
      <c r="Y63" s="100">
        <f t="shared" si="53"/>
        <v>21.230599999999999</v>
      </c>
      <c r="Z63" s="22">
        <f t="shared" si="54"/>
        <v>8195</v>
      </c>
      <c r="AA63" s="35">
        <f t="shared" si="55"/>
        <v>0</v>
      </c>
      <c r="AB63" s="22">
        <f t="shared" si="56"/>
        <v>6</v>
      </c>
      <c r="AC63" s="120">
        <f>ROUND(I63+mwreg!$G$13/100,3)</f>
        <v>-0.57799999999999996</v>
      </c>
      <c r="AD63" s="106">
        <f>ROUND(J63+mwreg!$G$13/100,3)</f>
        <v>0.63900000000000001</v>
      </c>
      <c r="AE63" s="106">
        <f>ROUND(K63+mwreg!$G$13/100,3)</f>
        <v>-5.2999999999999999E-2</v>
      </c>
      <c r="AF63" s="100">
        <f t="shared" si="14"/>
        <v>0.15790000000000001</v>
      </c>
      <c r="AG63" s="100">
        <f t="shared" si="15"/>
        <v>5.8500000000000003E-2</v>
      </c>
      <c r="AH63" s="100">
        <f t="shared" si="43"/>
        <v>6.2E-2</v>
      </c>
      <c r="AI63" s="22">
        <f t="shared" si="44"/>
        <v>180</v>
      </c>
      <c r="AJ63" s="22">
        <f t="shared" si="45"/>
        <v>60</v>
      </c>
      <c r="AK63" s="106">
        <f t="shared" si="46"/>
        <v>1E-3</v>
      </c>
      <c r="AL63" s="22">
        <f t="shared" si="47"/>
        <v>3</v>
      </c>
      <c r="AM63" s="22">
        <f t="shared" si="48"/>
        <v>1500</v>
      </c>
      <c r="AN63" s="106">
        <f t="shared" si="49"/>
        <v>0.1</v>
      </c>
      <c r="AO63" s="184">
        <f t="shared" si="58"/>
        <v>274331</v>
      </c>
    </row>
    <row r="64" spans="1:41" x14ac:dyDescent="0.2">
      <c r="A64" s="3" t="s">
        <v>296</v>
      </c>
      <c r="B64" s="3" t="s">
        <v>296</v>
      </c>
      <c r="C64" s="55">
        <v>2055</v>
      </c>
      <c r="D64" s="79">
        <v>64.915800000000004</v>
      </c>
      <c r="E64" s="79">
        <v>21.230599999999999</v>
      </c>
      <c r="F64" s="14">
        <v>8195</v>
      </c>
      <c r="G64" s="10">
        <v>0</v>
      </c>
      <c r="H64" s="122">
        <v>7</v>
      </c>
      <c r="I64" s="165">
        <v>-0.83199999999999996</v>
      </c>
      <c r="J64" s="11">
        <v>0.53300000000000003</v>
      </c>
      <c r="K64" s="11">
        <v>0.03</v>
      </c>
      <c r="L64" s="79">
        <v>0.15329999999999999</v>
      </c>
      <c r="M64" s="79">
        <v>0.1469</v>
      </c>
      <c r="N64" s="79">
        <v>0.15</v>
      </c>
      <c r="O64" s="14">
        <v>180</v>
      </c>
      <c r="P64" s="14">
        <v>60</v>
      </c>
      <c r="Q64" s="11">
        <v>1E-3</v>
      </c>
      <c r="R64" s="14">
        <v>3</v>
      </c>
      <c r="S64" s="14">
        <v>1500</v>
      </c>
      <c r="T64" s="11">
        <v>0.1</v>
      </c>
      <c r="U64" s="122">
        <v>279204</v>
      </c>
      <c r="V64" s="35"/>
      <c r="W64" s="99">
        <f t="shared" si="51"/>
        <v>2055</v>
      </c>
      <c r="X64" s="100">
        <f t="shared" si="52"/>
        <v>64.915800000000004</v>
      </c>
      <c r="Y64" s="100">
        <f t="shared" si="53"/>
        <v>21.230599999999999</v>
      </c>
      <c r="Z64" s="22">
        <f t="shared" si="54"/>
        <v>8195</v>
      </c>
      <c r="AA64" s="35">
        <f t="shared" si="55"/>
        <v>0</v>
      </c>
      <c r="AB64" s="22">
        <f t="shared" si="56"/>
        <v>7</v>
      </c>
      <c r="AC64" s="120">
        <f>ROUND(I64+mwreg!$G$13/100,3)</f>
        <v>-0.82699999999999996</v>
      </c>
      <c r="AD64" s="106">
        <f>ROUND(J64+mwreg!$G$13/100,3)</f>
        <v>0.53800000000000003</v>
      </c>
      <c r="AE64" s="106">
        <f>ROUND(K64+mwreg!$G$13/100,3)</f>
        <v>3.5000000000000003E-2</v>
      </c>
      <c r="AF64" s="100">
        <f t="shared" si="14"/>
        <v>0.15329999999999999</v>
      </c>
      <c r="AG64" s="100">
        <f t="shared" si="15"/>
        <v>0.1469</v>
      </c>
      <c r="AH64" s="100">
        <f t="shared" si="43"/>
        <v>0.15</v>
      </c>
      <c r="AI64" s="22">
        <f t="shared" si="44"/>
        <v>180</v>
      </c>
      <c r="AJ64" s="22">
        <f t="shared" si="45"/>
        <v>60</v>
      </c>
      <c r="AK64" s="106">
        <f t="shared" si="46"/>
        <v>1E-3</v>
      </c>
      <c r="AL64" s="22">
        <f t="shared" si="47"/>
        <v>3</v>
      </c>
      <c r="AM64" s="22">
        <f t="shared" si="48"/>
        <v>1500</v>
      </c>
      <c r="AN64" s="106">
        <f t="shared" si="49"/>
        <v>0.1</v>
      </c>
      <c r="AO64" s="184">
        <f t="shared" si="58"/>
        <v>279204</v>
      </c>
    </row>
    <row r="65" spans="1:41" x14ac:dyDescent="0.2">
      <c r="A65" s="3" t="s">
        <v>296</v>
      </c>
      <c r="B65" s="3" t="s">
        <v>296</v>
      </c>
      <c r="C65" s="55">
        <v>2055</v>
      </c>
      <c r="D65" s="79">
        <v>64.915800000000004</v>
      </c>
      <c r="E65" s="79">
        <v>21.230599999999999</v>
      </c>
      <c r="F65" s="14">
        <v>8195</v>
      </c>
      <c r="G65" s="10">
        <v>0</v>
      </c>
      <c r="H65" s="122">
        <v>8</v>
      </c>
      <c r="I65" s="165">
        <v>-0.81899999999999995</v>
      </c>
      <c r="J65" s="11">
        <v>0.63600000000000001</v>
      </c>
      <c r="K65" s="11">
        <v>6.0999999999999999E-2</v>
      </c>
      <c r="L65" s="79">
        <v>0.158</v>
      </c>
      <c r="M65" s="79">
        <v>0.1555</v>
      </c>
      <c r="N65" s="79">
        <v>0.16</v>
      </c>
      <c r="O65" s="14">
        <v>180</v>
      </c>
      <c r="P65" s="14">
        <v>60</v>
      </c>
      <c r="Q65" s="11">
        <v>1E-3</v>
      </c>
      <c r="R65" s="14">
        <v>3</v>
      </c>
      <c r="S65" s="14">
        <v>1500</v>
      </c>
      <c r="T65" s="11">
        <v>0.1</v>
      </c>
      <c r="U65" s="122">
        <v>306465</v>
      </c>
      <c r="V65" s="35"/>
      <c r="W65" s="99">
        <f t="shared" si="51"/>
        <v>2055</v>
      </c>
      <c r="X65" s="100">
        <f t="shared" si="52"/>
        <v>64.915800000000004</v>
      </c>
      <c r="Y65" s="100">
        <f t="shared" si="53"/>
        <v>21.230599999999999</v>
      </c>
      <c r="Z65" s="22">
        <f t="shared" si="54"/>
        <v>8195</v>
      </c>
      <c r="AA65" s="35">
        <f t="shared" si="55"/>
        <v>0</v>
      </c>
      <c r="AB65" s="22">
        <f t="shared" si="56"/>
        <v>8</v>
      </c>
      <c r="AC65" s="120">
        <f>ROUND(I65+mwreg!$G$13/100,3)</f>
        <v>-0.81399999999999995</v>
      </c>
      <c r="AD65" s="106">
        <f>ROUND(J65+mwreg!$G$13/100,3)</f>
        <v>0.64100000000000001</v>
      </c>
      <c r="AE65" s="106">
        <f>ROUND(K65+mwreg!$G$13/100,3)</f>
        <v>6.6000000000000003E-2</v>
      </c>
      <c r="AF65" s="100">
        <f t="shared" si="14"/>
        <v>0.158</v>
      </c>
      <c r="AG65" s="100">
        <f t="shared" si="15"/>
        <v>0.1555</v>
      </c>
      <c r="AH65" s="100">
        <f t="shared" si="43"/>
        <v>0.16</v>
      </c>
      <c r="AI65" s="22">
        <f t="shared" si="44"/>
        <v>180</v>
      </c>
      <c r="AJ65" s="22">
        <f t="shared" si="45"/>
        <v>60</v>
      </c>
      <c r="AK65" s="106">
        <f t="shared" si="46"/>
        <v>1E-3</v>
      </c>
      <c r="AL65" s="22">
        <f t="shared" si="47"/>
        <v>3</v>
      </c>
      <c r="AM65" s="22">
        <f t="shared" si="48"/>
        <v>1500</v>
      </c>
      <c r="AN65" s="106">
        <f t="shared" si="49"/>
        <v>0.1</v>
      </c>
      <c r="AO65" s="184">
        <f t="shared" si="58"/>
        <v>306465</v>
      </c>
    </row>
    <row r="66" spans="1:41" x14ac:dyDescent="0.2">
      <c r="A66" s="3" t="s">
        <v>296</v>
      </c>
      <c r="B66" s="3" t="s">
        <v>296</v>
      </c>
      <c r="C66" s="55">
        <v>2055</v>
      </c>
      <c r="D66" s="79">
        <v>64.915800000000004</v>
      </c>
      <c r="E66" s="79">
        <v>21.230599999999999</v>
      </c>
      <c r="F66" s="14">
        <v>8195</v>
      </c>
      <c r="G66" s="10">
        <v>0</v>
      </c>
      <c r="H66" s="122">
        <v>9</v>
      </c>
      <c r="I66" s="165">
        <v>-0.877</v>
      </c>
      <c r="J66" s="11">
        <v>1.0309999999999999</v>
      </c>
      <c r="K66" s="11">
        <v>0.108</v>
      </c>
      <c r="L66" s="79">
        <v>0.1981</v>
      </c>
      <c r="M66" s="79">
        <v>0.06</v>
      </c>
      <c r="N66" s="79">
        <v>6.4000000000000001E-2</v>
      </c>
      <c r="O66" s="14">
        <v>180</v>
      </c>
      <c r="P66" s="14">
        <v>60</v>
      </c>
      <c r="Q66" s="11">
        <v>1E-3</v>
      </c>
      <c r="R66" s="14">
        <v>3</v>
      </c>
      <c r="S66" s="14">
        <v>1500</v>
      </c>
      <c r="T66" s="11">
        <v>0.1</v>
      </c>
      <c r="U66" s="122">
        <v>288184</v>
      </c>
      <c r="V66" s="35"/>
      <c r="W66" s="99">
        <f t="shared" si="51"/>
        <v>2055</v>
      </c>
      <c r="X66" s="100">
        <f t="shared" si="52"/>
        <v>64.915800000000004</v>
      </c>
      <c r="Y66" s="100">
        <f t="shared" si="53"/>
        <v>21.230599999999999</v>
      </c>
      <c r="Z66" s="22">
        <f t="shared" si="54"/>
        <v>8195</v>
      </c>
      <c r="AA66" s="35">
        <f t="shared" si="55"/>
        <v>0</v>
      </c>
      <c r="AB66" s="22">
        <f t="shared" si="56"/>
        <v>9</v>
      </c>
      <c r="AC66" s="120">
        <f>ROUND(I66+mwreg!$G$13/100,3)</f>
        <v>-0.872</v>
      </c>
      <c r="AD66" s="106">
        <f>ROUND(J66+mwreg!$G$13/100,3)</f>
        <v>1.036</v>
      </c>
      <c r="AE66" s="106">
        <f>ROUND(K66+mwreg!$G$13/100,3)</f>
        <v>0.113</v>
      </c>
      <c r="AF66" s="100">
        <f t="shared" si="14"/>
        <v>0.1981</v>
      </c>
      <c r="AG66" s="100">
        <f t="shared" si="15"/>
        <v>0.06</v>
      </c>
      <c r="AH66" s="100">
        <f t="shared" si="43"/>
        <v>6.4000000000000001E-2</v>
      </c>
      <c r="AI66" s="22">
        <f t="shared" si="44"/>
        <v>180</v>
      </c>
      <c r="AJ66" s="22">
        <f t="shared" si="45"/>
        <v>60</v>
      </c>
      <c r="AK66" s="106">
        <f t="shared" si="46"/>
        <v>1E-3</v>
      </c>
      <c r="AL66" s="22">
        <f t="shared" si="47"/>
        <v>3</v>
      </c>
      <c r="AM66" s="22">
        <f t="shared" si="48"/>
        <v>1500</v>
      </c>
      <c r="AN66" s="106">
        <f t="shared" si="49"/>
        <v>0.1</v>
      </c>
      <c r="AO66" s="184">
        <f t="shared" si="58"/>
        <v>288184</v>
      </c>
    </row>
    <row r="67" spans="1:41" x14ac:dyDescent="0.2">
      <c r="A67" s="3" t="s">
        <v>296</v>
      </c>
      <c r="B67" s="3" t="s">
        <v>296</v>
      </c>
      <c r="C67" s="55">
        <v>2055</v>
      </c>
      <c r="D67" s="79">
        <v>64.915800000000004</v>
      </c>
      <c r="E67" s="79">
        <v>21.230599999999999</v>
      </c>
      <c r="F67" s="14">
        <v>8195</v>
      </c>
      <c r="G67" s="10">
        <v>0</v>
      </c>
      <c r="H67" s="122">
        <v>10</v>
      </c>
      <c r="I67" s="165">
        <v>-0.88200000000000001</v>
      </c>
      <c r="J67" s="11">
        <v>1.052</v>
      </c>
      <c r="K67" s="11">
        <v>0.09</v>
      </c>
      <c r="L67" s="79">
        <v>0.2467</v>
      </c>
      <c r="M67" s="79">
        <v>4.8899999999999999E-2</v>
      </c>
      <c r="N67" s="79">
        <v>5.2999999999999999E-2</v>
      </c>
      <c r="O67" s="14">
        <v>180</v>
      </c>
      <c r="P67" s="14">
        <v>60</v>
      </c>
      <c r="Q67" s="11">
        <v>1E-3</v>
      </c>
      <c r="R67" s="14">
        <v>3</v>
      </c>
      <c r="S67" s="14">
        <v>1500</v>
      </c>
      <c r="T67" s="11">
        <v>0.1</v>
      </c>
      <c r="U67" s="122">
        <v>288033</v>
      </c>
      <c r="V67" s="35"/>
      <c r="W67" s="99">
        <f t="shared" si="51"/>
        <v>2055</v>
      </c>
      <c r="X67" s="100">
        <f t="shared" si="52"/>
        <v>64.915800000000004</v>
      </c>
      <c r="Y67" s="100">
        <f t="shared" si="53"/>
        <v>21.230599999999999</v>
      </c>
      <c r="Z67" s="22">
        <f t="shared" si="54"/>
        <v>8195</v>
      </c>
      <c r="AA67" s="35">
        <f t="shared" si="55"/>
        <v>0</v>
      </c>
      <c r="AB67" s="22">
        <f t="shared" si="56"/>
        <v>10</v>
      </c>
      <c r="AC67" s="120">
        <f>ROUND(I67+mwreg!$G$13/100,3)</f>
        <v>-0.877</v>
      </c>
      <c r="AD67" s="106">
        <f>ROUND(J67+mwreg!$G$13/100,3)</f>
        <v>1.0569999999999999</v>
      </c>
      <c r="AE67" s="106">
        <f>ROUND(K67+mwreg!$G$13/100,3)</f>
        <v>9.5000000000000001E-2</v>
      </c>
      <c r="AF67" s="100">
        <f t="shared" si="14"/>
        <v>0.2467</v>
      </c>
      <c r="AG67" s="100">
        <f t="shared" si="15"/>
        <v>4.8899999999999999E-2</v>
      </c>
      <c r="AH67" s="100">
        <f t="shared" si="43"/>
        <v>5.2999999999999999E-2</v>
      </c>
      <c r="AI67" s="22">
        <f t="shared" si="44"/>
        <v>180</v>
      </c>
      <c r="AJ67" s="22">
        <f t="shared" si="45"/>
        <v>60</v>
      </c>
      <c r="AK67" s="106">
        <f t="shared" si="46"/>
        <v>1E-3</v>
      </c>
      <c r="AL67" s="22">
        <f t="shared" si="47"/>
        <v>3</v>
      </c>
      <c r="AM67" s="22">
        <f t="shared" si="48"/>
        <v>1500</v>
      </c>
      <c r="AN67" s="106">
        <f t="shared" si="49"/>
        <v>0.1</v>
      </c>
      <c r="AO67" s="184">
        <f t="shared" si="58"/>
        <v>288033</v>
      </c>
    </row>
    <row r="68" spans="1:41" x14ac:dyDescent="0.2">
      <c r="A68" s="3" t="s">
        <v>296</v>
      </c>
      <c r="B68" s="3" t="s">
        <v>296</v>
      </c>
      <c r="C68" s="55">
        <v>2055</v>
      </c>
      <c r="D68" s="79">
        <v>64.915800000000004</v>
      </c>
      <c r="E68" s="79">
        <v>21.230599999999999</v>
      </c>
      <c r="F68" s="14">
        <v>8195</v>
      </c>
      <c r="G68" s="10">
        <v>0</v>
      </c>
      <c r="H68" s="122">
        <v>11</v>
      </c>
      <c r="I68" s="165">
        <v>-0.91500000000000004</v>
      </c>
      <c r="J68" s="11">
        <v>1.069</v>
      </c>
      <c r="K68" s="11">
        <v>0.10199999999999999</v>
      </c>
      <c r="L68" s="79">
        <v>0.2843</v>
      </c>
      <c r="M68" s="79">
        <v>6.0100000000000001E-2</v>
      </c>
      <c r="N68" s="79">
        <v>6.5000000000000002E-2</v>
      </c>
      <c r="O68" s="14">
        <v>180</v>
      </c>
      <c r="P68" s="14">
        <v>60</v>
      </c>
      <c r="Q68" s="11">
        <v>1E-3</v>
      </c>
      <c r="R68" s="14">
        <v>3</v>
      </c>
      <c r="S68" s="14">
        <v>1500</v>
      </c>
      <c r="T68" s="11">
        <v>0.1</v>
      </c>
      <c r="U68" s="122">
        <v>272679</v>
      </c>
      <c r="V68" s="35"/>
      <c r="W68" s="99">
        <f t="shared" si="51"/>
        <v>2055</v>
      </c>
      <c r="X68" s="100">
        <f t="shared" si="52"/>
        <v>64.915800000000004</v>
      </c>
      <c r="Y68" s="100">
        <f t="shared" si="53"/>
        <v>21.230599999999999</v>
      </c>
      <c r="Z68" s="22">
        <f t="shared" si="54"/>
        <v>8195</v>
      </c>
      <c r="AA68" s="35">
        <f t="shared" si="55"/>
        <v>0</v>
      </c>
      <c r="AB68" s="22">
        <f t="shared" si="56"/>
        <v>11</v>
      </c>
      <c r="AC68" s="120">
        <f>ROUND(I68+mwreg!$G$13/100,3)</f>
        <v>-0.91</v>
      </c>
      <c r="AD68" s="106">
        <f>ROUND(J68+mwreg!$G$13/100,3)</f>
        <v>1.0740000000000001</v>
      </c>
      <c r="AE68" s="106">
        <f>ROUND(K68+mwreg!$G$13/100,3)</f>
        <v>0.107</v>
      </c>
      <c r="AF68" s="100">
        <f t="shared" si="14"/>
        <v>0.2843</v>
      </c>
      <c r="AG68" s="100">
        <f t="shared" si="15"/>
        <v>6.0100000000000001E-2</v>
      </c>
      <c r="AH68" s="100">
        <f t="shared" si="43"/>
        <v>6.5000000000000002E-2</v>
      </c>
      <c r="AI68" s="22">
        <f t="shared" si="44"/>
        <v>180</v>
      </c>
      <c r="AJ68" s="22">
        <f t="shared" si="45"/>
        <v>60</v>
      </c>
      <c r="AK68" s="106">
        <f t="shared" si="46"/>
        <v>1E-3</v>
      </c>
      <c r="AL68" s="22">
        <f t="shared" si="47"/>
        <v>3</v>
      </c>
      <c r="AM68" s="22">
        <f t="shared" si="48"/>
        <v>1500</v>
      </c>
      <c r="AN68" s="106">
        <f t="shared" si="49"/>
        <v>0.1</v>
      </c>
      <c r="AO68" s="184">
        <f t="shared" si="58"/>
        <v>272679</v>
      </c>
    </row>
    <row r="69" spans="1:41" x14ac:dyDescent="0.2">
      <c r="A69" s="3" t="s">
        <v>296</v>
      </c>
      <c r="B69" s="3" t="s">
        <v>296</v>
      </c>
      <c r="C69" s="55">
        <v>2055</v>
      </c>
      <c r="D69" s="79">
        <v>64.915800000000004</v>
      </c>
      <c r="E69" s="79">
        <v>21.230599999999999</v>
      </c>
      <c r="F69" s="14">
        <v>8195</v>
      </c>
      <c r="G69" s="10">
        <v>0</v>
      </c>
      <c r="H69" s="122">
        <v>12</v>
      </c>
      <c r="I69" s="165">
        <v>-0.91500000000000004</v>
      </c>
      <c r="J69" s="11">
        <v>1.2809999999999999</v>
      </c>
      <c r="K69" s="11">
        <v>0.17499999999999999</v>
      </c>
      <c r="L69" s="79">
        <v>0.28860000000000002</v>
      </c>
      <c r="M69" s="79">
        <v>5.2499999999999998E-2</v>
      </c>
      <c r="N69" s="79">
        <v>5.7000000000000002E-2</v>
      </c>
      <c r="O69" s="14">
        <v>180</v>
      </c>
      <c r="P69" s="14">
        <v>60</v>
      </c>
      <c r="Q69" s="11">
        <v>1E-3</v>
      </c>
      <c r="R69" s="14">
        <v>3</v>
      </c>
      <c r="S69" s="14">
        <v>1500</v>
      </c>
      <c r="T69" s="11">
        <v>0.1</v>
      </c>
      <c r="U69" s="122">
        <v>249399</v>
      </c>
      <c r="V69" s="35"/>
      <c r="W69" s="99">
        <f t="shared" si="51"/>
        <v>2055</v>
      </c>
      <c r="X69" s="100">
        <f t="shared" si="52"/>
        <v>64.915800000000004</v>
      </c>
      <c r="Y69" s="100">
        <f t="shared" si="53"/>
        <v>21.230599999999999</v>
      </c>
      <c r="Z69" s="22">
        <f t="shared" si="54"/>
        <v>8195</v>
      </c>
      <c r="AA69" s="35">
        <f t="shared" si="55"/>
        <v>0</v>
      </c>
      <c r="AB69" s="22">
        <f t="shared" si="56"/>
        <v>12</v>
      </c>
      <c r="AC69" s="120">
        <f>ROUND(I69+mwreg!$G$13/100,3)</f>
        <v>-0.91</v>
      </c>
      <c r="AD69" s="106">
        <f>ROUND(J69+mwreg!$G$13/100,3)</f>
        <v>1.286</v>
      </c>
      <c r="AE69" s="106">
        <f>ROUND(K69+mwreg!$G$13/100,3)</f>
        <v>0.18</v>
      </c>
      <c r="AF69" s="100">
        <f t="shared" si="14"/>
        <v>0.28860000000000002</v>
      </c>
      <c r="AG69" s="100">
        <f t="shared" si="15"/>
        <v>5.2499999999999998E-2</v>
      </c>
      <c r="AH69" s="100">
        <f t="shared" si="43"/>
        <v>5.7000000000000002E-2</v>
      </c>
      <c r="AI69" s="22">
        <f t="shared" si="44"/>
        <v>180</v>
      </c>
      <c r="AJ69" s="22">
        <f t="shared" si="45"/>
        <v>60</v>
      </c>
      <c r="AK69" s="106">
        <f t="shared" si="46"/>
        <v>1E-3</v>
      </c>
      <c r="AL69" s="22">
        <f t="shared" si="47"/>
        <v>3</v>
      </c>
      <c r="AM69" s="22">
        <f t="shared" si="48"/>
        <v>1500</v>
      </c>
      <c r="AN69" s="106">
        <f t="shared" si="49"/>
        <v>0.1</v>
      </c>
      <c r="AO69" s="184">
        <f t="shared" si="58"/>
        <v>249399</v>
      </c>
    </row>
    <row r="70" spans="1:41" x14ac:dyDescent="0.2">
      <c r="A70" s="3" t="str">
        <f>stat_uppg!A14</f>
        <v>40/35240</v>
      </c>
      <c r="B70" s="3" t="str">
        <f>stat_uppg!B14</f>
        <v>GÅSÖREN (SJÖV)</v>
      </c>
      <c r="C70" s="52">
        <v>35240</v>
      </c>
      <c r="D70" s="105">
        <v>64.663300000000007</v>
      </c>
      <c r="E70" s="105">
        <v>21.316700000000001</v>
      </c>
      <c r="F70" s="20">
        <v>8195</v>
      </c>
      <c r="G70" s="18">
        <v>0</v>
      </c>
      <c r="H70" s="53">
        <v>1</v>
      </c>
      <c r="I70" s="167">
        <f t="shared" ref="I70:K81" si="85">ROUND(0.784*I58+0.216*I82,3)</f>
        <v>-1.1319999999999999</v>
      </c>
      <c r="J70" s="104">
        <f t="shared" si="85"/>
        <v>1.444</v>
      </c>
      <c r="K70" s="104">
        <f t="shared" si="85"/>
        <v>0.193</v>
      </c>
      <c r="L70" s="105">
        <f>ROUND(0.784*L58+0.216*L82,4)</f>
        <v>0.3301</v>
      </c>
      <c r="M70" s="105">
        <f>ROUND(0.784*M58+0.216*M82,4)</f>
        <v>8.0600000000000005E-2</v>
      </c>
      <c r="N70" s="105">
        <f>ROUND(0.784*N58+0.216*N82,4)</f>
        <v>8.4699999999999998E-2</v>
      </c>
      <c r="O70" s="20">
        <f t="shared" ref="O70:P81" si="86">ROUND(0.784*O58+0.216*O82,0)</f>
        <v>180</v>
      </c>
      <c r="P70" s="20">
        <f t="shared" si="86"/>
        <v>60</v>
      </c>
      <c r="Q70" s="104">
        <f>ROUND(0.784*Q58+0.216*Q82,3)</f>
        <v>1E-3</v>
      </c>
      <c r="R70" s="20">
        <f t="shared" ref="R70:S81" si="87">ROUND(0.784*R58+0.216*R82,0)</f>
        <v>3</v>
      </c>
      <c r="S70" s="20">
        <f t="shared" si="87"/>
        <v>1500</v>
      </c>
      <c r="T70" s="105">
        <f>ROUND(0.784*T58+0.216*T82,3)</f>
        <v>0.1</v>
      </c>
      <c r="U70" s="54" t="s">
        <v>282</v>
      </c>
      <c r="V70" s="21"/>
      <c r="W70" s="58">
        <f t="shared" si="51"/>
        <v>35240</v>
      </c>
      <c r="X70" s="102">
        <f t="shared" si="52"/>
        <v>64.663300000000007</v>
      </c>
      <c r="Y70" s="102">
        <f t="shared" si="53"/>
        <v>21.316700000000001</v>
      </c>
      <c r="Z70" s="21">
        <f t="shared" si="54"/>
        <v>8195</v>
      </c>
      <c r="AA70" s="44">
        <f t="shared" si="55"/>
        <v>0</v>
      </c>
      <c r="AB70" s="21">
        <f t="shared" si="56"/>
        <v>1</v>
      </c>
      <c r="AC70" s="121">
        <f>ROUND(I70+mwreg!$G$14/100,3)</f>
        <v>-1.1240000000000001</v>
      </c>
      <c r="AD70" s="101">
        <f>ROUND(J70+mwreg!$G$14/100,3)</f>
        <v>1.452</v>
      </c>
      <c r="AE70" s="101">
        <f>ROUND(K70+mwreg!$G$14/100,3)</f>
        <v>0.20100000000000001</v>
      </c>
      <c r="AF70" s="102">
        <f t="shared" si="14"/>
        <v>0.3301</v>
      </c>
      <c r="AG70" s="102">
        <f t="shared" si="15"/>
        <v>8.0600000000000005E-2</v>
      </c>
      <c r="AH70" s="102">
        <f t="shared" si="43"/>
        <v>8.4699999999999998E-2</v>
      </c>
      <c r="AI70" s="21">
        <f t="shared" si="44"/>
        <v>180</v>
      </c>
      <c r="AJ70" s="21">
        <f t="shared" si="45"/>
        <v>60</v>
      </c>
      <c r="AK70" s="101">
        <f t="shared" si="46"/>
        <v>1E-3</v>
      </c>
      <c r="AL70" s="21">
        <f t="shared" si="47"/>
        <v>3</v>
      </c>
      <c r="AM70" s="21">
        <f t="shared" si="48"/>
        <v>1500</v>
      </c>
      <c r="AN70" s="101">
        <f t="shared" si="49"/>
        <v>0.1</v>
      </c>
      <c r="AO70" s="185" t="str">
        <f t="shared" si="58"/>
        <v>NaN</v>
      </c>
    </row>
    <row r="71" spans="1:41" x14ac:dyDescent="0.2">
      <c r="A71" s="3" t="s">
        <v>296</v>
      </c>
      <c r="B71" s="3" t="s">
        <v>296</v>
      </c>
      <c r="C71" s="52">
        <v>35240</v>
      </c>
      <c r="D71" s="105">
        <v>64.663300000000007</v>
      </c>
      <c r="E71" s="105">
        <v>21.316700000000001</v>
      </c>
      <c r="F71" s="20">
        <v>8195</v>
      </c>
      <c r="G71" s="18">
        <v>0</v>
      </c>
      <c r="H71" s="53">
        <v>2</v>
      </c>
      <c r="I71" s="167">
        <f t="shared" si="85"/>
        <v>-1.204</v>
      </c>
      <c r="J71" s="104">
        <f t="shared" si="85"/>
        <v>1.423</v>
      </c>
      <c r="K71" s="104">
        <f t="shared" si="85"/>
        <v>0.122</v>
      </c>
      <c r="L71" s="105">
        <f t="shared" ref="L71:N81" si="88">ROUND(0.784*L59+0.216*L83,4)</f>
        <v>0.35720000000000002</v>
      </c>
      <c r="M71" s="105">
        <f t="shared" si="88"/>
        <v>5.8000000000000003E-2</v>
      </c>
      <c r="N71" s="105">
        <f t="shared" si="88"/>
        <v>6.1600000000000002E-2</v>
      </c>
      <c r="O71" s="20">
        <f t="shared" si="86"/>
        <v>180</v>
      </c>
      <c r="P71" s="20">
        <f t="shared" si="86"/>
        <v>60</v>
      </c>
      <c r="Q71" s="104">
        <f t="shared" ref="Q71:Q81" si="89">ROUND(0.784*Q59+0.216*Q83,3)</f>
        <v>1E-3</v>
      </c>
      <c r="R71" s="20">
        <f t="shared" si="87"/>
        <v>3</v>
      </c>
      <c r="S71" s="20">
        <f t="shared" si="87"/>
        <v>1500</v>
      </c>
      <c r="T71" s="105">
        <f t="shared" ref="T71:T81" si="90">ROUND(0.784*T59+0.216*T83,3)</f>
        <v>0.1</v>
      </c>
      <c r="U71" s="54" t="s">
        <v>282</v>
      </c>
      <c r="V71" s="21"/>
      <c r="W71" s="58">
        <f t="shared" si="51"/>
        <v>35240</v>
      </c>
      <c r="X71" s="102">
        <f t="shared" si="52"/>
        <v>64.663300000000007</v>
      </c>
      <c r="Y71" s="102">
        <f t="shared" si="53"/>
        <v>21.316700000000001</v>
      </c>
      <c r="Z71" s="21">
        <f t="shared" si="54"/>
        <v>8195</v>
      </c>
      <c r="AA71" s="44">
        <f t="shared" si="55"/>
        <v>0</v>
      </c>
      <c r="AB71" s="21">
        <f t="shared" si="56"/>
        <v>2</v>
      </c>
      <c r="AC71" s="121">
        <f>ROUND(I71+mwreg!$G$14/100,3)</f>
        <v>-1.196</v>
      </c>
      <c r="AD71" s="101">
        <f>ROUND(J71+mwreg!$G$14/100,3)</f>
        <v>1.431</v>
      </c>
      <c r="AE71" s="101">
        <f>ROUND(K71+mwreg!$G$14/100,3)</f>
        <v>0.13</v>
      </c>
      <c r="AF71" s="102">
        <f t="shared" si="14"/>
        <v>0.35720000000000002</v>
      </c>
      <c r="AG71" s="102">
        <f t="shared" si="15"/>
        <v>5.8000000000000003E-2</v>
      </c>
      <c r="AH71" s="102">
        <f t="shared" si="43"/>
        <v>6.1600000000000002E-2</v>
      </c>
      <c r="AI71" s="21">
        <f t="shared" si="44"/>
        <v>180</v>
      </c>
      <c r="AJ71" s="21">
        <f t="shared" si="45"/>
        <v>60</v>
      </c>
      <c r="AK71" s="101">
        <f t="shared" si="46"/>
        <v>1E-3</v>
      </c>
      <c r="AL71" s="21">
        <f t="shared" si="47"/>
        <v>3</v>
      </c>
      <c r="AM71" s="21">
        <f t="shared" si="48"/>
        <v>1500</v>
      </c>
      <c r="AN71" s="101">
        <f t="shared" si="49"/>
        <v>0.1</v>
      </c>
      <c r="AO71" s="185" t="str">
        <f t="shared" si="58"/>
        <v>NaN</v>
      </c>
    </row>
    <row r="72" spans="1:41" x14ac:dyDescent="0.2">
      <c r="A72" s="3" t="s">
        <v>296</v>
      </c>
      <c r="B72" s="3" t="s">
        <v>296</v>
      </c>
      <c r="C72" s="52">
        <v>35240</v>
      </c>
      <c r="D72" s="105">
        <v>64.663300000000007</v>
      </c>
      <c r="E72" s="105">
        <v>21.316700000000001</v>
      </c>
      <c r="F72" s="20">
        <v>8195</v>
      </c>
      <c r="G72" s="18">
        <v>0</v>
      </c>
      <c r="H72" s="53">
        <v>3</v>
      </c>
      <c r="I72" s="167">
        <f t="shared" si="85"/>
        <v>-0.86499999999999999</v>
      </c>
      <c r="J72" s="104">
        <f t="shared" si="85"/>
        <v>1.2030000000000001</v>
      </c>
      <c r="K72" s="104">
        <f t="shared" si="85"/>
        <v>2.8000000000000001E-2</v>
      </c>
      <c r="L72" s="105">
        <f t="shared" si="88"/>
        <v>0.29559999999999997</v>
      </c>
      <c r="M72" s="105">
        <f t="shared" si="88"/>
        <v>5.5800000000000002E-2</v>
      </c>
      <c r="N72" s="105">
        <f t="shared" si="88"/>
        <v>5.9200000000000003E-2</v>
      </c>
      <c r="O72" s="20">
        <f t="shared" si="86"/>
        <v>180</v>
      </c>
      <c r="P72" s="20">
        <f t="shared" si="86"/>
        <v>60</v>
      </c>
      <c r="Q72" s="104">
        <f t="shared" si="89"/>
        <v>1E-3</v>
      </c>
      <c r="R72" s="20">
        <f t="shared" si="87"/>
        <v>3</v>
      </c>
      <c r="S72" s="20">
        <f t="shared" si="87"/>
        <v>1500</v>
      </c>
      <c r="T72" s="105">
        <f t="shared" si="90"/>
        <v>0.1</v>
      </c>
      <c r="U72" s="54" t="s">
        <v>282</v>
      </c>
      <c r="V72" s="21"/>
      <c r="W72" s="58">
        <f t="shared" si="51"/>
        <v>35240</v>
      </c>
      <c r="X72" s="102">
        <f t="shared" si="52"/>
        <v>64.663300000000007</v>
      </c>
      <c r="Y72" s="102">
        <f t="shared" si="53"/>
        <v>21.316700000000001</v>
      </c>
      <c r="Z72" s="21">
        <f t="shared" si="54"/>
        <v>8195</v>
      </c>
      <c r="AA72" s="44">
        <f t="shared" si="55"/>
        <v>0</v>
      </c>
      <c r="AB72" s="21">
        <f t="shared" si="56"/>
        <v>3</v>
      </c>
      <c r="AC72" s="121">
        <f>ROUND(I72+mwreg!$G$14/100,3)</f>
        <v>-0.85699999999999998</v>
      </c>
      <c r="AD72" s="101">
        <f>ROUND(J72+mwreg!$G$14/100,3)</f>
        <v>1.2110000000000001</v>
      </c>
      <c r="AE72" s="101">
        <f>ROUND(K72+mwreg!$G$14/100,3)</f>
        <v>3.5999999999999997E-2</v>
      </c>
      <c r="AF72" s="102">
        <f t="shared" si="14"/>
        <v>0.29559999999999997</v>
      </c>
      <c r="AG72" s="102">
        <f t="shared" si="15"/>
        <v>5.5800000000000002E-2</v>
      </c>
      <c r="AH72" s="102">
        <f t="shared" si="43"/>
        <v>5.9200000000000003E-2</v>
      </c>
      <c r="AI72" s="21">
        <f t="shared" si="44"/>
        <v>180</v>
      </c>
      <c r="AJ72" s="21">
        <f t="shared" si="45"/>
        <v>60</v>
      </c>
      <c r="AK72" s="101">
        <f t="shared" si="46"/>
        <v>1E-3</v>
      </c>
      <c r="AL72" s="21">
        <f t="shared" si="47"/>
        <v>3</v>
      </c>
      <c r="AM72" s="21">
        <f t="shared" si="48"/>
        <v>1500</v>
      </c>
      <c r="AN72" s="101">
        <f t="shared" si="49"/>
        <v>0.1</v>
      </c>
      <c r="AO72" s="185" t="str">
        <f t="shared" si="58"/>
        <v>NaN</v>
      </c>
    </row>
    <row r="73" spans="1:41" x14ac:dyDescent="0.2">
      <c r="A73" s="3" t="s">
        <v>296</v>
      </c>
      <c r="B73" s="3" t="s">
        <v>296</v>
      </c>
      <c r="C73" s="52">
        <v>35240</v>
      </c>
      <c r="D73" s="105">
        <v>64.663300000000007</v>
      </c>
      <c r="E73" s="105">
        <v>21.316700000000001</v>
      </c>
      <c r="F73" s="20">
        <v>8195</v>
      </c>
      <c r="G73" s="18">
        <v>0</v>
      </c>
      <c r="H73" s="53">
        <v>4</v>
      </c>
      <c r="I73" s="167">
        <f t="shared" si="85"/>
        <v>-1.0580000000000001</v>
      </c>
      <c r="J73" s="104">
        <f t="shared" si="85"/>
        <v>0.75900000000000001</v>
      </c>
      <c r="K73" s="104">
        <f t="shared" si="85"/>
        <v>-9.9000000000000005E-2</v>
      </c>
      <c r="L73" s="105">
        <f t="shared" si="88"/>
        <v>0.217</v>
      </c>
      <c r="M73" s="105">
        <f t="shared" si="88"/>
        <v>4.8000000000000001E-2</v>
      </c>
      <c r="N73" s="105">
        <f t="shared" si="88"/>
        <v>5.0799999999999998E-2</v>
      </c>
      <c r="O73" s="20">
        <f t="shared" si="86"/>
        <v>180</v>
      </c>
      <c r="P73" s="20">
        <f t="shared" si="86"/>
        <v>60</v>
      </c>
      <c r="Q73" s="104">
        <f t="shared" si="89"/>
        <v>1E-3</v>
      </c>
      <c r="R73" s="20">
        <f t="shared" si="87"/>
        <v>3</v>
      </c>
      <c r="S73" s="20">
        <f t="shared" si="87"/>
        <v>1500</v>
      </c>
      <c r="T73" s="105">
        <f t="shared" si="90"/>
        <v>0.1</v>
      </c>
      <c r="U73" s="54" t="s">
        <v>282</v>
      </c>
      <c r="V73" s="21"/>
      <c r="W73" s="58">
        <f t="shared" si="51"/>
        <v>35240</v>
      </c>
      <c r="X73" s="102">
        <f t="shared" si="52"/>
        <v>64.663300000000007</v>
      </c>
      <c r="Y73" s="102">
        <f t="shared" si="53"/>
        <v>21.316700000000001</v>
      </c>
      <c r="Z73" s="21">
        <f t="shared" si="54"/>
        <v>8195</v>
      </c>
      <c r="AA73" s="44">
        <f t="shared" si="55"/>
        <v>0</v>
      </c>
      <c r="AB73" s="21">
        <f t="shared" si="56"/>
        <v>4</v>
      </c>
      <c r="AC73" s="121">
        <f>ROUND(I73+mwreg!$G$14/100,3)</f>
        <v>-1.05</v>
      </c>
      <c r="AD73" s="101">
        <f>ROUND(J73+mwreg!$G$14/100,3)</f>
        <v>0.76700000000000002</v>
      </c>
      <c r="AE73" s="101">
        <f>ROUND(K73+mwreg!$G$14/100,3)</f>
        <v>-9.0999999999999998E-2</v>
      </c>
      <c r="AF73" s="102">
        <f t="shared" si="14"/>
        <v>0.217</v>
      </c>
      <c r="AG73" s="102">
        <f t="shared" si="15"/>
        <v>4.8000000000000001E-2</v>
      </c>
      <c r="AH73" s="102">
        <f t="shared" si="43"/>
        <v>5.0799999999999998E-2</v>
      </c>
      <c r="AI73" s="21">
        <f t="shared" si="44"/>
        <v>180</v>
      </c>
      <c r="AJ73" s="21">
        <f t="shared" si="45"/>
        <v>60</v>
      </c>
      <c r="AK73" s="101">
        <f t="shared" si="46"/>
        <v>1E-3</v>
      </c>
      <c r="AL73" s="21">
        <f t="shared" si="47"/>
        <v>3</v>
      </c>
      <c r="AM73" s="21">
        <f t="shared" si="48"/>
        <v>1500</v>
      </c>
      <c r="AN73" s="101">
        <f t="shared" si="49"/>
        <v>0.1</v>
      </c>
      <c r="AO73" s="185" t="str">
        <f t="shared" si="58"/>
        <v>NaN</v>
      </c>
    </row>
    <row r="74" spans="1:41" x14ac:dyDescent="0.2">
      <c r="A74" s="3" t="s">
        <v>296</v>
      </c>
      <c r="B74" s="3" t="s">
        <v>296</v>
      </c>
      <c r="C74" s="52">
        <v>35240</v>
      </c>
      <c r="D74" s="105">
        <v>64.663300000000007</v>
      </c>
      <c r="E74" s="105">
        <v>21.316700000000001</v>
      </c>
      <c r="F74" s="20">
        <v>8195</v>
      </c>
      <c r="G74" s="18">
        <v>0</v>
      </c>
      <c r="H74" s="53">
        <v>5</v>
      </c>
      <c r="I74" s="167">
        <f t="shared" si="85"/>
        <v>-0.89400000000000002</v>
      </c>
      <c r="J74" s="104">
        <f t="shared" si="85"/>
        <v>0.57099999999999995</v>
      </c>
      <c r="K74" s="104">
        <f t="shared" si="85"/>
        <v>-8.1000000000000003E-2</v>
      </c>
      <c r="L74" s="105">
        <f t="shared" si="88"/>
        <v>0.18029999999999999</v>
      </c>
      <c r="M74" s="105">
        <f t="shared" si="88"/>
        <v>9.1300000000000006E-2</v>
      </c>
      <c r="N74" s="105">
        <f t="shared" si="88"/>
        <v>9.4700000000000006E-2</v>
      </c>
      <c r="O74" s="20">
        <f t="shared" si="86"/>
        <v>180</v>
      </c>
      <c r="P74" s="20">
        <f t="shared" si="86"/>
        <v>60</v>
      </c>
      <c r="Q74" s="104">
        <f t="shared" si="89"/>
        <v>1E-3</v>
      </c>
      <c r="R74" s="20">
        <f t="shared" si="87"/>
        <v>3</v>
      </c>
      <c r="S74" s="20">
        <f t="shared" si="87"/>
        <v>1500</v>
      </c>
      <c r="T74" s="105">
        <f t="shared" si="90"/>
        <v>0.1</v>
      </c>
      <c r="U74" s="54" t="s">
        <v>282</v>
      </c>
      <c r="V74" s="21"/>
      <c r="W74" s="58">
        <f t="shared" ref="W74:W105" si="91">C74</f>
        <v>35240</v>
      </c>
      <c r="X74" s="102">
        <f t="shared" ref="X74:X105" si="92">D74</f>
        <v>64.663300000000007</v>
      </c>
      <c r="Y74" s="102">
        <f t="shared" ref="Y74:Y105" si="93">E74</f>
        <v>21.316700000000001</v>
      </c>
      <c r="Z74" s="21">
        <f t="shared" ref="Z74:Z105" si="94">F74</f>
        <v>8195</v>
      </c>
      <c r="AA74" s="44">
        <f t="shared" ref="AA74:AA105" si="95">G74</f>
        <v>0</v>
      </c>
      <c r="AB74" s="21">
        <f t="shared" ref="AB74:AB105" si="96">H74</f>
        <v>5</v>
      </c>
      <c r="AC74" s="121">
        <f>ROUND(I74+mwreg!$G$14/100,3)</f>
        <v>-0.88600000000000001</v>
      </c>
      <c r="AD74" s="101">
        <f>ROUND(J74+mwreg!$G$14/100,3)</f>
        <v>0.57899999999999996</v>
      </c>
      <c r="AE74" s="101">
        <f>ROUND(K74+mwreg!$G$14/100,3)</f>
        <v>-7.2999999999999995E-2</v>
      </c>
      <c r="AF74" s="102">
        <f t="shared" si="14"/>
        <v>0.18029999999999999</v>
      </c>
      <c r="AG74" s="102">
        <f t="shared" si="15"/>
        <v>9.1300000000000006E-2</v>
      </c>
      <c r="AH74" s="102">
        <f t="shared" si="43"/>
        <v>9.4700000000000006E-2</v>
      </c>
      <c r="AI74" s="21">
        <f t="shared" si="44"/>
        <v>180</v>
      </c>
      <c r="AJ74" s="21">
        <f t="shared" si="45"/>
        <v>60</v>
      </c>
      <c r="AK74" s="101">
        <f t="shared" si="46"/>
        <v>1E-3</v>
      </c>
      <c r="AL74" s="21">
        <f t="shared" si="47"/>
        <v>3</v>
      </c>
      <c r="AM74" s="21">
        <f t="shared" si="48"/>
        <v>1500</v>
      </c>
      <c r="AN74" s="101">
        <f t="shared" si="49"/>
        <v>0.1</v>
      </c>
      <c r="AO74" s="185" t="str">
        <f t="shared" si="58"/>
        <v>NaN</v>
      </c>
    </row>
    <row r="75" spans="1:41" x14ac:dyDescent="0.2">
      <c r="A75" s="3" t="s">
        <v>296</v>
      </c>
      <c r="B75" s="3" t="s">
        <v>296</v>
      </c>
      <c r="C75" s="52">
        <v>35240</v>
      </c>
      <c r="D75" s="105">
        <v>64.663300000000007</v>
      </c>
      <c r="E75" s="105">
        <v>21.316700000000001</v>
      </c>
      <c r="F75" s="20">
        <v>8195</v>
      </c>
      <c r="G75" s="18">
        <v>0</v>
      </c>
      <c r="H75" s="53">
        <v>6</v>
      </c>
      <c r="I75" s="167">
        <f t="shared" si="85"/>
        <v>-0.60299999999999998</v>
      </c>
      <c r="J75" s="104">
        <f t="shared" si="85"/>
        <v>0.60599999999999998</v>
      </c>
      <c r="K75" s="104">
        <f t="shared" si="85"/>
        <v>-0.06</v>
      </c>
      <c r="L75" s="105">
        <f t="shared" si="88"/>
        <v>0.15570000000000001</v>
      </c>
      <c r="M75" s="105">
        <f t="shared" si="88"/>
        <v>5.3499999999999999E-2</v>
      </c>
      <c r="N75" s="105">
        <f t="shared" si="88"/>
        <v>5.6800000000000003E-2</v>
      </c>
      <c r="O75" s="20">
        <f t="shared" si="86"/>
        <v>180</v>
      </c>
      <c r="P75" s="20">
        <f t="shared" si="86"/>
        <v>60</v>
      </c>
      <c r="Q75" s="104">
        <f t="shared" si="89"/>
        <v>1E-3</v>
      </c>
      <c r="R75" s="20">
        <f t="shared" si="87"/>
        <v>3</v>
      </c>
      <c r="S75" s="20">
        <f t="shared" si="87"/>
        <v>1500</v>
      </c>
      <c r="T75" s="105">
        <f t="shared" si="90"/>
        <v>0.1</v>
      </c>
      <c r="U75" s="54" t="s">
        <v>282</v>
      </c>
      <c r="V75" s="21"/>
      <c r="W75" s="58">
        <f t="shared" si="91"/>
        <v>35240</v>
      </c>
      <c r="X75" s="102">
        <f t="shared" si="92"/>
        <v>64.663300000000007</v>
      </c>
      <c r="Y75" s="102">
        <f t="shared" si="93"/>
        <v>21.316700000000001</v>
      </c>
      <c r="Z75" s="21">
        <f t="shared" si="94"/>
        <v>8195</v>
      </c>
      <c r="AA75" s="44">
        <f t="shared" si="95"/>
        <v>0</v>
      </c>
      <c r="AB75" s="21">
        <f t="shared" si="96"/>
        <v>6</v>
      </c>
      <c r="AC75" s="121">
        <f>ROUND(I75+mwreg!$G$14/100,3)</f>
        <v>-0.59499999999999997</v>
      </c>
      <c r="AD75" s="101">
        <f>ROUND(J75+mwreg!$G$14/100,3)</f>
        <v>0.61399999999999999</v>
      </c>
      <c r="AE75" s="101">
        <f>ROUND(K75+mwreg!$G$14/100,3)</f>
        <v>-5.1999999999999998E-2</v>
      </c>
      <c r="AF75" s="102">
        <f t="shared" ref="AF75:AF138" si="97">L75</f>
        <v>0.15570000000000001</v>
      </c>
      <c r="AG75" s="102">
        <f t="shared" ref="AG75:AG138" si="98">M75</f>
        <v>5.3499999999999999E-2</v>
      </c>
      <c r="AH75" s="102">
        <f t="shared" si="43"/>
        <v>5.6800000000000003E-2</v>
      </c>
      <c r="AI75" s="21">
        <f t="shared" si="44"/>
        <v>180</v>
      </c>
      <c r="AJ75" s="21">
        <f t="shared" si="45"/>
        <v>60</v>
      </c>
      <c r="AK75" s="101">
        <f t="shared" si="46"/>
        <v>1E-3</v>
      </c>
      <c r="AL75" s="21">
        <f t="shared" si="47"/>
        <v>3</v>
      </c>
      <c r="AM75" s="21">
        <f t="shared" si="48"/>
        <v>1500</v>
      </c>
      <c r="AN75" s="101">
        <f t="shared" si="49"/>
        <v>0.1</v>
      </c>
      <c r="AO75" s="185" t="str">
        <f t="shared" si="58"/>
        <v>NaN</v>
      </c>
    </row>
    <row r="76" spans="1:41" x14ac:dyDescent="0.2">
      <c r="A76" s="3" t="s">
        <v>296</v>
      </c>
      <c r="B76" s="3" t="s">
        <v>296</v>
      </c>
      <c r="C76" s="52">
        <v>35240</v>
      </c>
      <c r="D76" s="105">
        <v>64.663300000000007</v>
      </c>
      <c r="E76" s="105">
        <v>21.316700000000001</v>
      </c>
      <c r="F76" s="20">
        <v>8195</v>
      </c>
      <c r="G76" s="18">
        <v>0</v>
      </c>
      <c r="H76" s="53">
        <v>7</v>
      </c>
      <c r="I76" s="167">
        <f t="shared" si="85"/>
        <v>-0.81200000000000006</v>
      </c>
      <c r="J76" s="104">
        <f t="shared" si="85"/>
        <v>0.53</v>
      </c>
      <c r="K76" s="104">
        <f t="shared" si="85"/>
        <v>2.9000000000000001E-2</v>
      </c>
      <c r="L76" s="105">
        <f t="shared" si="88"/>
        <v>0.15110000000000001</v>
      </c>
      <c r="M76" s="105">
        <f t="shared" si="88"/>
        <v>0.123</v>
      </c>
      <c r="N76" s="105">
        <f t="shared" si="88"/>
        <v>0.126</v>
      </c>
      <c r="O76" s="20">
        <f t="shared" si="86"/>
        <v>180</v>
      </c>
      <c r="P76" s="20">
        <f t="shared" si="86"/>
        <v>60</v>
      </c>
      <c r="Q76" s="104">
        <f t="shared" si="89"/>
        <v>1E-3</v>
      </c>
      <c r="R76" s="20">
        <f t="shared" si="87"/>
        <v>3</v>
      </c>
      <c r="S76" s="20">
        <f t="shared" si="87"/>
        <v>1500</v>
      </c>
      <c r="T76" s="105">
        <f t="shared" si="90"/>
        <v>0.1</v>
      </c>
      <c r="U76" s="54" t="s">
        <v>282</v>
      </c>
      <c r="V76" s="21"/>
      <c r="W76" s="58">
        <f t="shared" si="91"/>
        <v>35240</v>
      </c>
      <c r="X76" s="102">
        <f t="shared" si="92"/>
        <v>64.663300000000007</v>
      </c>
      <c r="Y76" s="102">
        <f t="shared" si="93"/>
        <v>21.316700000000001</v>
      </c>
      <c r="Z76" s="21">
        <f t="shared" si="94"/>
        <v>8195</v>
      </c>
      <c r="AA76" s="44">
        <f t="shared" si="95"/>
        <v>0</v>
      </c>
      <c r="AB76" s="21">
        <f t="shared" si="96"/>
        <v>7</v>
      </c>
      <c r="AC76" s="121">
        <f>ROUND(I76+mwreg!$G$14/100,3)</f>
        <v>-0.80400000000000005</v>
      </c>
      <c r="AD76" s="101">
        <f>ROUND(J76+mwreg!$G$14/100,3)</f>
        <v>0.53800000000000003</v>
      </c>
      <c r="AE76" s="101">
        <f>ROUND(K76+mwreg!$G$14/100,3)</f>
        <v>3.6999999999999998E-2</v>
      </c>
      <c r="AF76" s="102">
        <f t="shared" si="97"/>
        <v>0.15110000000000001</v>
      </c>
      <c r="AG76" s="102">
        <f t="shared" si="98"/>
        <v>0.123</v>
      </c>
      <c r="AH76" s="102">
        <f t="shared" si="43"/>
        <v>0.126</v>
      </c>
      <c r="AI76" s="21">
        <f t="shared" si="44"/>
        <v>180</v>
      </c>
      <c r="AJ76" s="21">
        <f t="shared" si="45"/>
        <v>60</v>
      </c>
      <c r="AK76" s="101">
        <f t="shared" si="46"/>
        <v>1E-3</v>
      </c>
      <c r="AL76" s="21">
        <f t="shared" si="47"/>
        <v>3</v>
      </c>
      <c r="AM76" s="21">
        <f t="shared" si="48"/>
        <v>1500</v>
      </c>
      <c r="AN76" s="101">
        <f t="shared" si="49"/>
        <v>0.1</v>
      </c>
      <c r="AO76" s="185" t="str">
        <f t="shared" si="58"/>
        <v>NaN</v>
      </c>
    </row>
    <row r="77" spans="1:41" x14ac:dyDescent="0.2">
      <c r="A77" s="3" t="s">
        <v>296</v>
      </c>
      <c r="B77" s="3" t="s">
        <v>296</v>
      </c>
      <c r="C77" s="52">
        <v>35240</v>
      </c>
      <c r="D77" s="105">
        <v>64.663300000000007</v>
      </c>
      <c r="E77" s="105">
        <v>21.316700000000001</v>
      </c>
      <c r="F77" s="20">
        <v>8195</v>
      </c>
      <c r="G77" s="18">
        <v>0</v>
      </c>
      <c r="H77" s="53">
        <v>8</v>
      </c>
      <c r="I77" s="167">
        <f t="shared" si="85"/>
        <v>-0.79300000000000004</v>
      </c>
      <c r="J77" s="104">
        <f t="shared" si="85"/>
        <v>0.67100000000000004</v>
      </c>
      <c r="K77" s="104">
        <f t="shared" si="85"/>
        <v>5.6000000000000001E-2</v>
      </c>
      <c r="L77" s="105">
        <f t="shared" si="88"/>
        <v>0.15509999999999999</v>
      </c>
      <c r="M77" s="105">
        <f t="shared" si="88"/>
        <v>0.1288</v>
      </c>
      <c r="N77" s="105">
        <f t="shared" si="88"/>
        <v>0.1328</v>
      </c>
      <c r="O77" s="20">
        <f t="shared" si="86"/>
        <v>180</v>
      </c>
      <c r="P77" s="20">
        <f t="shared" si="86"/>
        <v>60</v>
      </c>
      <c r="Q77" s="104">
        <f t="shared" si="89"/>
        <v>1E-3</v>
      </c>
      <c r="R77" s="20">
        <f t="shared" si="87"/>
        <v>3</v>
      </c>
      <c r="S77" s="20">
        <f t="shared" si="87"/>
        <v>1500</v>
      </c>
      <c r="T77" s="105">
        <f t="shared" si="90"/>
        <v>0.1</v>
      </c>
      <c r="U77" s="54" t="s">
        <v>282</v>
      </c>
      <c r="V77" s="21"/>
      <c r="W77" s="58">
        <f t="shared" si="91"/>
        <v>35240</v>
      </c>
      <c r="X77" s="102">
        <f t="shared" si="92"/>
        <v>64.663300000000007</v>
      </c>
      <c r="Y77" s="102">
        <f t="shared" si="93"/>
        <v>21.316700000000001</v>
      </c>
      <c r="Z77" s="21">
        <f t="shared" si="94"/>
        <v>8195</v>
      </c>
      <c r="AA77" s="44">
        <f t="shared" si="95"/>
        <v>0</v>
      </c>
      <c r="AB77" s="21">
        <f t="shared" si="96"/>
        <v>8</v>
      </c>
      <c r="AC77" s="121">
        <f>ROUND(I77+mwreg!$G$14/100,3)</f>
        <v>-0.78500000000000003</v>
      </c>
      <c r="AD77" s="101">
        <f>ROUND(J77+mwreg!$G$14/100,3)</f>
        <v>0.67900000000000005</v>
      </c>
      <c r="AE77" s="101">
        <f>ROUND(K77+mwreg!$G$14/100,3)</f>
        <v>6.4000000000000001E-2</v>
      </c>
      <c r="AF77" s="102">
        <f t="shared" si="97"/>
        <v>0.15509999999999999</v>
      </c>
      <c r="AG77" s="102">
        <f t="shared" si="98"/>
        <v>0.1288</v>
      </c>
      <c r="AH77" s="102">
        <f t="shared" si="43"/>
        <v>0.1328</v>
      </c>
      <c r="AI77" s="21">
        <f t="shared" si="44"/>
        <v>180</v>
      </c>
      <c r="AJ77" s="21">
        <f t="shared" si="45"/>
        <v>60</v>
      </c>
      <c r="AK77" s="101">
        <f t="shared" si="46"/>
        <v>1E-3</v>
      </c>
      <c r="AL77" s="21">
        <f t="shared" si="47"/>
        <v>3</v>
      </c>
      <c r="AM77" s="21">
        <f t="shared" si="48"/>
        <v>1500</v>
      </c>
      <c r="AN77" s="101">
        <f t="shared" si="49"/>
        <v>0.1</v>
      </c>
      <c r="AO77" s="185" t="str">
        <f t="shared" si="58"/>
        <v>NaN</v>
      </c>
    </row>
    <row r="78" spans="1:41" x14ac:dyDescent="0.2">
      <c r="A78" s="3" t="s">
        <v>296</v>
      </c>
      <c r="B78" s="3" t="s">
        <v>296</v>
      </c>
      <c r="C78" s="52">
        <v>35240</v>
      </c>
      <c r="D78" s="105">
        <v>64.663300000000007</v>
      </c>
      <c r="E78" s="105">
        <v>21.316700000000001</v>
      </c>
      <c r="F78" s="20">
        <v>8195</v>
      </c>
      <c r="G78" s="18">
        <v>0</v>
      </c>
      <c r="H78" s="53">
        <v>9</v>
      </c>
      <c r="I78" s="167">
        <f t="shared" si="85"/>
        <v>-0.85899999999999999</v>
      </c>
      <c r="J78" s="104">
        <f t="shared" si="85"/>
        <v>0.97</v>
      </c>
      <c r="K78" s="104">
        <f t="shared" si="85"/>
        <v>0.105</v>
      </c>
      <c r="L78" s="105">
        <f t="shared" si="88"/>
        <v>0.1961</v>
      </c>
      <c r="M78" s="105">
        <f t="shared" si="88"/>
        <v>5.3699999999999998E-2</v>
      </c>
      <c r="N78" s="105">
        <f t="shared" si="88"/>
        <v>5.7299999999999997E-2</v>
      </c>
      <c r="O78" s="20">
        <f t="shared" si="86"/>
        <v>180</v>
      </c>
      <c r="P78" s="20">
        <f t="shared" si="86"/>
        <v>60</v>
      </c>
      <c r="Q78" s="104">
        <f t="shared" si="89"/>
        <v>1E-3</v>
      </c>
      <c r="R78" s="20">
        <f t="shared" si="87"/>
        <v>3</v>
      </c>
      <c r="S78" s="20">
        <f t="shared" si="87"/>
        <v>1500</v>
      </c>
      <c r="T78" s="105">
        <f t="shared" si="90"/>
        <v>0.1</v>
      </c>
      <c r="U78" s="54" t="s">
        <v>282</v>
      </c>
      <c r="V78" s="21"/>
      <c r="W78" s="58">
        <f t="shared" si="91"/>
        <v>35240</v>
      </c>
      <c r="X78" s="102">
        <f t="shared" si="92"/>
        <v>64.663300000000007</v>
      </c>
      <c r="Y78" s="102">
        <f t="shared" si="93"/>
        <v>21.316700000000001</v>
      </c>
      <c r="Z78" s="21">
        <f t="shared" si="94"/>
        <v>8195</v>
      </c>
      <c r="AA78" s="44">
        <f t="shared" si="95"/>
        <v>0</v>
      </c>
      <c r="AB78" s="21">
        <f t="shared" si="96"/>
        <v>9</v>
      </c>
      <c r="AC78" s="121">
        <f>ROUND(I78+mwreg!$G$14/100,3)</f>
        <v>-0.85099999999999998</v>
      </c>
      <c r="AD78" s="101">
        <f>ROUND(J78+mwreg!$G$14/100,3)</f>
        <v>0.97799999999999998</v>
      </c>
      <c r="AE78" s="101">
        <f>ROUND(K78+mwreg!$G$14/100,3)</f>
        <v>0.113</v>
      </c>
      <c r="AF78" s="102">
        <f t="shared" si="97"/>
        <v>0.1961</v>
      </c>
      <c r="AG78" s="102">
        <f t="shared" si="98"/>
        <v>5.3699999999999998E-2</v>
      </c>
      <c r="AH78" s="102">
        <f t="shared" si="43"/>
        <v>5.7299999999999997E-2</v>
      </c>
      <c r="AI78" s="21">
        <f t="shared" si="44"/>
        <v>180</v>
      </c>
      <c r="AJ78" s="21">
        <f t="shared" si="45"/>
        <v>60</v>
      </c>
      <c r="AK78" s="101">
        <f t="shared" si="46"/>
        <v>1E-3</v>
      </c>
      <c r="AL78" s="21">
        <f t="shared" si="47"/>
        <v>3</v>
      </c>
      <c r="AM78" s="21">
        <f t="shared" si="48"/>
        <v>1500</v>
      </c>
      <c r="AN78" s="101">
        <f t="shared" si="49"/>
        <v>0.1</v>
      </c>
      <c r="AO78" s="185" t="str">
        <f t="shared" si="58"/>
        <v>NaN</v>
      </c>
    </row>
    <row r="79" spans="1:41" x14ac:dyDescent="0.2">
      <c r="A79" s="3" t="s">
        <v>296</v>
      </c>
      <c r="B79" s="3" t="s">
        <v>296</v>
      </c>
      <c r="C79" s="52">
        <v>35240</v>
      </c>
      <c r="D79" s="105">
        <v>64.663300000000007</v>
      </c>
      <c r="E79" s="105">
        <v>21.316700000000001</v>
      </c>
      <c r="F79" s="20">
        <v>8195</v>
      </c>
      <c r="G79" s="18">
        <v>0</v>
      </c>
      <c r="H79" s="53">
        <v>10</v>
      </c>
      <c r="I79" s="167">
        <f t="shared" si="85"/>
        <v>-0.95499999999999996</v>
      </c>
      <c r="J79" s="104">
        <f t="shared" si="85"/>
        <v>1.0329999999999999</v>
      </c>
      <c r="K79" s="104">
        <f t="shared" si="85"/>
        <v>8.6999999999999994E-2</v>
      </c>
      <c r="L79" s="105">
        <f t="shared" si="88"/>
        <v>0.2432</v>
      </c>
      <c r="M79" s="105">
        <f t="shared" si="88"/>
        <v>4.2700000000000002E-2</v>
      </c>
      <c r="N79" s="105">
        <f t="shared" si="88"/>
        <v>4.65E-2</v>
      </c>
      <c r="O79" s="20">
        <f t="shared" si="86"/>
        <v>180</v>
      </c>
      <c r="P79" s="20">
        <f t="shared" si="86"/>
        <v>60</v>
      </c>
      <c r="Q79" s="104">
        <f t="shared" si="89"/>
        <v>1E-3</v>
      </c>
      <c r="R79" s="20">
        <f t="shared" si="87"/>
        <v>3</v>
      </c>
      <c r="S79" s="20">
        <f t="shared" si="87"/>
        <v>1500</v>
      </c>
      <c r="T79" s="105">
        <f t="shared" si="90"/>
        <v>0.1</v>
      </c>
      <c r="U79" s="54" t="s">
        <v>282</v>
      </c>
      <c r="V79" s="21"/>
      <c r="W79" s="58">
        <f t="shared" si="91"/>
        <v>35240</v>
      </c>
      <c r="X79" s="102">
        <f t="shared" si="92"/>
        <v>64.663300000000007</v>
      </c>
      <c r="Y79" s="102">
        <f t="shared" si="93"/>
        <v>21.316700000000001</v>
      </c>
      <c r="Z79" s="21">
        <f t="shared" si="94"/>
        <v>8195</v>
      </c>
      <c r="AA79" s="44">
        <f t="shared" si="95"/>
        <v>0</v>
      </c>
      <c r="AB79" s="21">
        <f t="shared" si="96"/>
        <v>10</v>
      </c>
      <c r="AC79" s="121">
        <f>ROUND(I79+mwreg!$G$14/100,3)</f>
        <v>-0.94699999999999995</v>
      </c>
      <c r="AD79" s="101">
        <f>ROUND(J79+mwreg!$G$14/100,3)</f>
        <v>1.0409999999999999</v>
      </c>
      <c r="AE79" s="101">
        <f>ROUND(K79+mwreg!$G$14/100,3)</f>
        <v>9.5000000000000001E-2</v>
      </c>
      <c r="AF79" s="102">
        <f t="shared" si="97"/>
        <v>0.2432</v>
      </c>
      <c r="AG79" s="102">
        <f t="shared" si="98"/>
        <v>4.2700000000000002E-2</v>
      </c>
      <c r="AH79" s="102">
        <f t="shared" si="43"/>
        <v>4.65E-2</v>
      </c>
      <c r="AI79" s="21">
        <f t="shared" si="44"/>
        <v>180</v>
      </c>
      <c r="AJ79" s="21">
        <f t="shared" si="45"/>
        <v>60</v>
      </c>
      <c r="AK79" s="101">
        <f t="shared" si="46"/>
        <v>1E-3</v>
      </c>
      <c r="AL79" s="21">
        <f t="shared" si="47"/>
        <v>3</v>
      </c>
      <c r="AM79" s="21">
        <f t="shared" si="48"/>
        <v>1500</v>
      </c>
      <c r="AN79" s="101">
        <f t="shared" si="49"/>
        <v>0.1</v>
      </c>
      <c r="AO79" s="185" t="str">
        <f t="shared" si="58"/>
        <v>NaN</v>
      </c>
    </row>
    <row r="80" spans="1:41" x14ac:dyDescent="0.2">
      <c r="A80" s="3" t="s">
        <v>296</v>
      </c>
      <c r="B80" s="3" t="s">
        <v>296</v>
      </c>
      <c r="C80" s="52">
        <v>35240</v>
      </c>
      <c r="D80" s="105">
        <v>64.663300000000007</v>
      </c>
      <c r="E80" s="105">
        <v>21.316700000000001</v>
      </c>
      <c r="F80" s="20">
        <v>8195</v>
      </c>
      <c r="G80" s="18">
        <v>0</v>
      </c>
      <c r="H80" s="53">
        <v>11</v>
      </c>
      <c r="I80" s="167">
        <f t="shared" si="85"/>
        <v>-0.95</v>
      </c>
      <c r="J80" s="104">
        <f t="shared" si="85"/>
        <v>1.0580000000000001</v>
      </c>
      <c r="K80" s="104">
        <f t="shared" si="85"/>
        <v>9.9000000000000005E-2</v>
      </c>
      <c r="L80" s="105">
        <f t="shared" si="88"/>
        <v>0.2802</v>
      </c>
      <c r="M80" s="105">
        <f t="shared" si="88"/>
        <v>6.0100000000000001E-2</v>
      </c>
      <c r="N80" s="105">
        <f t="shared" si="88"/>
        <v>6.4600000000000005E-2</v>
      </c>
      <c r="O80" s="20">
        <f t="shared" si="86"/>
        <v>180</v>
      </c>
      <c r="P80" s="20">
        <f t="shared" si="86"/>
        <v>60</v>
      </c>
      <c r="Q80" s="104">
        <f t="shared" si="89"/>
        <v>1E-3</v>
      </c>
      <c r="R80" s="20">
        <f t="shared" si="87"/>
        <v>3</v>
      </c>
      <c r="S80" s="20">
        <f t="shared" si="87"/>
        <v>1500</v>
      </c>
      <c r="T80" s="105">
        <f t="shared" si="90"/>
        <v>0.1</v>
      </c>
      <c r="U80" s="54" t="s">
        <v>282</v>
      </c>
      <c r="V80" s="21"/>
      <c r="W80" s="58">
        <f t="shared" si="91"/>
        <v>35240</v>
      </c>
      <c r="X80" s="102">
        <f t="shared" si="92"/>
        <v>64.663300000000007</v>
      </c>
      <c r="Y80" s="102">
        <f t="shared" si="93"/>
        <v>21.316700000000001</v>
      </c>
      <c r="Z80" s="21">
        <f t="shared" si="94"/>
        <v>8195</v>
      </c>
      <c r="AA80" s="44">
        <f t="shared" si="95"/>
        <v>0</v>
      </c>
      <c r="AB80" s="21">
        <f t="shared" si="96"/>
        <v>11</v>
      </c>
      <c r="AC80" s="121">
        <f>ROUND(I80+mwreg!$G$14/100,3)</f>
        <v>-0.94199999999999995</v>
      </c>
      <c r="AD80" s="101">
        <f>ROUND(J80+mwreg!$G$14/100,3)</f>
        <v>1.0660000000000001</v>
      </c>
      <c r="AE80" s="101">
        <f>ROUND(K80+mwreg!$G$14/100,3)</f>
        <v>0.107</v>
      </c>
      <c r="AF80" s="102">
        <f t="shared" si="97"/>
        <v>0.2802</v>
      </c>
      <c r="AG80" s="102">
        <f t="shared" si="98"/>
        <v>6.0100000000000001E-2</v>
      </c>
      <c r="AH80" s="102">
        <f t="shared" si="43"/>
        <v>6.4600000000000005E-2</v>
      </c>
      <c r="AI80" s="21">
        <f t="shared" si="44"/>
        <v>180</v>
      </c>
      <c r="AJ80" s="21">
        <f t="shared" si="45"/>
        <v>60</v>
      </c>
      <c r="AK80" s="101">
        <f t="shared" si="46"/>
        <v>1E-3</v>
      </c>
      <c r="AL80" s="21">
        <f t="shared" si="47"/>
        <v>3</v>
      </c>
      <c r="AM80" s="21">
        <f t="shared" si="48"/>
        <v>1500</v>
      </c>
      <c r="AN80" s="101">
        <f t="shared" si="49"/>
        <v>0.1</v>
      </c>
      <c r="AO80" s="185" t="str">
        <f t="shared" si="58"/>
        <v>NaN</v>
      </c>
    </row>
    <row r="81" spans="1:41" x14ac:dyDescent="0.2">
      <c r="A81" s="3" t="s">
        <v>296</v>
      </c>
      <c r="B81" s="3" t="s">
        <v>296</v>
      </c>
      <c r="C81" s="52">
        <v>35240</v>
      </c>
      <c r="D81" s="105">
        <v>64.663300000000007</v>
      </c>
      <c r="E81" s="105">
        <v>21.316700000000001</v>
      </c>
      <c r="F81" s="20">
        <v>8195</v>
      </c>
      <c r="G81" s="18">
        <v>0</v>
      </c>
      <c r="H81" s="53">
        <v>12</v>
      </c>
      <c r="I81" s="167">
        <f t="shared" si="85"/>
        <v>-0.91100000000000003</v>
      </c>
      <c r="J81" s="104">
        <f t="shared" si="85"/>
        <v>1.248</v>
      </c>
      <c r="K81" s="104">
        <f t="shared" si="85"/>
        <v>0.16800000000000001</v>
      </c>
      <c r="L81" s="105">
        <f t="shared" si="88"/>
        <v>0.28720000000000001</v>
      </c>
      <c r="M81" s="105">
        <f t="shared" si="88"/>
        <v>4.9200000000000001E-2</v>
      </c>
      <c r="N81" s="105">
        <f t="shared" si="88"/>
        <v>5.33E-2</v>
      </c>
      <c r="O81" s="20">
        <f t="shared" si="86"/>
        <v>180</v>
      </c>
      <c r="P81" s="20">
        <f t="shared" si="86"/>
        <v>60</v>
      </c>
      <c r="Q81" s="104">
        <f t="shared" si="89"/>
        <v>1E-3</v>
      </c>
      <c r="R81" s="20">
        <f t="shared" si="87"/>
        <v>3</v>
      </c>
      <c r="S81" s="20">
        <f t="shared" si="87"/>
        <v>1500</v>
      </c>
      <c r="T81" s="105">
        <f t="shared" si="90"/>
        <v>0.1</v>
      </c>
      <c r="U81" s="54" t="s">
        <v>282</v>
      </c>
      <c r="V81" s="21"/>
      <c r="W81" s="58">
        <f t="shared" si="91"/>
        <v>35240</v>
      </c>
      <c r="X81" s="102">
        <f t="shared" si="92"/>
        <v>64.663300000000007</v>
      </c>
      <c r="Y81" s="102">
        <f t="shared" si="93"/>
        <v>21.316700000000001</v>
      </c>
      <c r="Z81" s="21">
        <f t="shared" si="94"/>
        <v>8195</v>
      </c>
      <c r="AA81" s="44">
        <f t="shared" si="95"/>
        <v>0</v>
      </c>
      <c r="AB81" s="21">
        <f t="shared" si="96"/>
        <v>12</v>
      </c>
      <c r="AC81" s="121">
        <f>ROUND(I81+mwreg!$G$14/100,3)</f>
        <v>-0.90300000000000002</v>
      </c>
      <c r="AD81" s="101">
        <f>ROUND(J81+mwreg!$G$14/100,3)</f>
        <v>1.256</v>
      </c>
      <c r="AE81" s="101">
        <f>ROUND(K81+mwreg!$G$14/100,3)</f>
        <v>0.17599999999999999</v>
      </c>
      <c r="AF81" s="102">
        <f t="shared" si="97"/>
        <v>0.28720000000000001</v>
      </c>
      <c r="AG81" s="102">
        <f t="shared" si="98"/>
        <v>4.9200000000000001E-2</v>
      </c>
      <c r="AH81" s="102">
        <f t="shared" si="43"/>
        <v>5.33E-2</v>
      </c>
      <c r="AI81" s="21">
        <f t="shared" si="44"/>
        <v>180</v>
      </c>
      <c r="AJ81" s="21">
        <f t="shared" si="45"/>
        <v>60</v>
      </c>
      <c r="AK81" s="101">
        <f t="shared" si="46"/>
        <v>1E-3</v>
      </c>
      <c r="AL81" s="21">
        <f t="shared" si="47"/>
        <v>3</v>
      </c>
      <c r="AM81" s="21">
        <f t="shared" si="48"/>
        <v>1500</v>
      </c>
      <c r="AN81" s="101">
        <f t="shared" si="49"/>
        <v>0.1</v>
      </c>
      <c r="AO81" s="185" t="str">
        <f t="shared" si="58"/>
        <v>NaN</v>
      </c>
    </row>
    <row r="82" spans="1:41" x14ac:dyDescent="0.2">
      <c r="A82" s="3" t="str">
        <f>stat_uppg!A15</f>
        <v>2056/33053</v>
      </c>
      <c r="B82" s="3" t="str">
        <f>stat_uppg!B15</f>
        <v>RATAN (SMHI)</v>
      </c>
      <c r="C82" s="55">
        <v>2056</v>
      </c>
      <c r="D82" s="79">
        <v>63.9861</v>
      </c>
      <c r="E82" s="79">
        <v>20.895</v>
      </c>
      <c r="F82" s="14">
        <v>8195</v>
      </c>
      <c r="G82" s="10">
        <v>0</v>
      </c>
      <c r="H82" s="122">
        <v>1</v>
      </c>
      <c r="I82" s="165">
        <v>-1.071</v>
      </c>
      <c r="J82" s="11">
        <v>1.327</v>
      </c>
      <c r="K82" s="11">
        <v>0.17199999999999999</v>
      </c>
      <c r="L82" s="79">
        <v>0.31280000000000002</v>
      </c>
      <c r="M82" s="79">
        <v>2.63E-2</v>
      </c>
      <c r="N82" s="79">
        <v>2.9000000000000001E-2</v>
      </c>
      <c r="O82" s="14">
        <v>180</v>
      </c>
      <c r="P82" s="14">
        <v>60</v>
      </c>
      <c r="Q82" s="11">
        <v>1E-3</v>
      </c>
      <c r="R82" s="14">
        <v>3</v>
      </c>
      <c r="S82" s="14">
        <v>1500</v>
      </c>
      <c r="T82" s="11">
        <v>0.1</v>
      </c>
      <c r="U82" s="122">
        <v>274925</v>
      </c>
      <c r="V82" s="35"/>
      <c r="W82" s="99">
        <f t="shared" si="91"/>
        <v>2056</v>
      </c>
      <c r="X82" s="100">
        <f t="shared" si="92"/>
        <v>63.9861</v>
      </c>
      <c r="Y82" s="100">
        <f t="shared" si="93"/>
        <v>20.895</v>
      </c>
      <c r="Z82" s="22">
        <f t="shared" si="94"/>
        <v>8195</v>
      </c>
      <c r="AA82" s="35">
        <f t="shared" si="95"/>
        <v>0</v>
      </c>
      <c r="AB82" s="22">
        <f t="shared" si="96"/>
        <v>1</v>
      </c>
      <c r="AC82" s="120">
        <f>ROUND(I82+mwreg!$G$15/100,3)</f>
        <v>-1.0469999999999999</v>
      </c>
      <c r="AD82" s="106">
        <f>ROUND(J82+mwreg!$G$15/100,3)</f>
        <v>1.351</v>
      </c>
      <c r="AE82" s="106">
        <f>ROUND(K82+mwreg!$G$15/100,3)</f>
        <v>0.19600000000000001</v>
      </c>
      <c r="AF82" s="100">
        <f t="shared" si="97"/>
        <v>0.31280000000000002</v>
      </c>
      <c r="AG82" s="100">
        <f t="shared" si="98"/>
        <v>2.63E-2</v>
      </c>
      <c r="AH82" s="100">
        <f t="shared" si="43"/>
        <v>2.9000000000000001E-2</v>
      </c>
      <c r="AI82" s="22">
        <f t="shared" si="44"/>
        <v>180</v>
      </c>
      <c r="AJ82" s="22">
        <f t="shared" si="45"/>
        <v>60</v>
      </c>
      <c r="AK82" s="106">
        <f t="shared" si="46"/>
        <v>1E-3</v>
      </c>
      <c r="AL82" s="22">
        <f t="shared" si="47"/>
        <v>3</v>
      </c>
      <c r="AM82" s="22">
        <f t="shared" si="48"/>
        <v>1500</v>
      </c>
      <c r="AN82" s="106">
        <f t="shared" si="49"/>
        <v>0.1</v>
      </c>
      <c r="AO82" s="184">
        <f t="shared" si="58"/>
        <v>274925</v>
      </c>
    </row>
    <row r="83" spans="1:41" x14ac:dyDescent="0.2">
      <c r="A83" s="3" t="s">
        <v>296</v>
      </c>
      <c r="B83" s="3" t="s">
        <v>296</v>
      </c>
      <c r="C83" s="55">
        <v>2056</v>
      </c>
      <c r="D83" s="79">
        <v>63.9861</v>
      </c>
      <c r="E83" s="79">
        <v>20.895</v>
      </c>
      <c r="F83" s="14">
        <v>8195</v>
      </c>
      <c r="G83" s="10">
        <v>0</v>
      </c>
      <c r="H83" s="122">
        <v>2</v>
      </c>
      <c r="I83" s="165">
        <v>-1.107</v>
      </c>
      <c r="J83" s="11">
        <v>1.421</v>
      </c>
      <c r="K83" s="11">
        <v>0.106</v>
      </c>
      <c r="L83" s="79">
        <v>0.33889999999999998</v>
      </c>
      <c r="M83" s="79">
        <v>2.8299999999999999E-2</v>
      </c>
      <c r="N83" s="79">
        <v>3.1E-2</v>
      </c>
      <c r="O83" s="14">
        <v>180</v>
      </c>
      <c r="P83" s="14">
        <v>60</v>
      </c>
      <c r="Q83" s="11">
        <v>1E-3</v>
      </c>
      <c r="R83" s="14">
        <v>3</v>
      </c>
      <c r="S83" s="14">
        <v>1500</v>
      </c>
      <c r="T83" s="11">
        <v>0.1</v>
      </c>
      <c r="U83" s="122">
        <v>251485</v>
      </c>
      <c r="V83" s="35"/>
      <c r="W83" s="99">
        <f t="shared" si="91"/>
        <v>2056</v>
      </c>
      <c r="X83" s="100">
        <f t="shared" si="92"/>
        <v>63.9861</v>
      </c>
      <c r="Y83" s="100">
        <f t="shared" si="93"/>
        <v>20.895</v>
      </c>
      <c r="Z83" s="22">
        <f t="shared" si="94"/>
        <v>8195</v>
      </c>
      <c r="AA83" s="35">
        <f t="shared" si="95"/>
        <v>0</v>
      </c>
      <c r="AB83" s="22">
        <f t="shared" si="96"/>
        <v>2</v>
      </c>
      <c r="AC83" s="120">
        <f>ROUND(I83+mwreg!$G$15/100,3)</f>
        <v>-1.083</v>
      </c>
      <c r="AD83" s="106">
        <f>ROUND(J83+mwreg!$G$15/100,3)</f>
        <v>1.4450000000000001</v>
      </c>
      <c r="AE83" s="106">
        <f>ROUND(K83+mwreg!$G$15/100,3)</f>
        <v>0.13</v>
      </c>
      <c r="AF83" s="100">
        <f t="shared" si="97"/>
        <v>0.33889999999999998</v>
      </c>
      <c r="AG83" s="100">
        <f t="shared" si="98"/>
        <v>2.8299999999999999E-2</v>
      </c>
      <c r="AH83" s="100">
        <f t="shared" si="43"/>
        <v>3.1E-2</v>
      </c>
      <c r="AI83" s="22">
        <f t="shared" si="44"/>
        <v>180</v>
      </c>
      <c r="AJ83" s="22">
        <f t="shared" si="45"/>
        <v>60</v>
      </c>
      <c r="AK83" s="106">
        <f t="shared" si="46"/>
        <v>1E-3</v>
      </c>
      <c r="AL83" s="22">
        <f t="shared" si="47"/>
        <v>3</v>
      </c>
      <c r="AM83" s="22">
        <f t="shared" si="48"/>
        <v>1500</v>
      </c>
      <c r="AN83" s="106">
        <f t="shared" si="49"/>
        <v>0.1</v>
      </c>
      <c r="AO83" s="184">
        <f t="shared" si="58"/>
        <v>251485</v>
      </c>
    </row>
    <row r="84" spans="1:41" x14ac:dyDescent="0.2">
      <c r="A84" s="3" t="s">
        <v>296</v>
      </c>
      <c r="B84" s="3" t="s">
        <v>296</v>
      </c>
      <c r="C84" s="55">
        <v>2056</v>
      </c>
      <c r="D84" s="79">
        <v>63.9861</v>
      </c>
      <c r="E84" s="79">
        <v>20.895</v>
      </c>
      <c r="F84" s="14">
        <v>8195</v>
      </c>
      <c r="G84" s="10">
        <v>0</v>
      </c>
      <c r="H84" s="122">
        <v>3</v>
      </c>
      <c r="I84" s="165">
        <v>-0.88300000000000001</v>
      </c>
      <c r="J84" s="11">
        <v>1.125</v>
      </c>
      <c r="K84" s="11">
        <v>8.0000000000000002E-3</v>
      </c>
      <c r="L84" s="79">
        <v>0.28420000000000001</v>
      </c>
      <c r="M84" s="79">
        <v>2.8400000000000002E-2</v>
      </c>
      <c r="N84" s="79">
        <v>3.1E-2</v>
      </c>
      <c r="O84" s="14">
        <v>180</v>
      </c>
      <c r="P84" s="14">
        <v>60</v>
      </c>
      <c r="Q84" s="11">
        <v>1E-3</v>
      </c>
      <c r="R84" s="14">
        <v>3</v>
      </c>
      <c r="S84" s="14">
        <v>1500</v>
      </c>
      <c r="T84" s="11">
        <v>0.1</v>
      </c>
      <c r="U84" s="122">
        <v>274270</v>
      </c>
      <c r="V84" s="35"/>
      <c r="W84" s="99">
        <f t="shared" si="91"/>
        <v>2056</v>
      </c>
      <c r="X84" s="100">
        <f t="shared" si="92"/>
        <v>63.9861</v>
      </c>
      <c r="Y84" s="100">
        <f t="shared" si="93"/>
        <v>20.895</v>
      </c>
      <c r="Z84" s="22">
        <f t="shared" si="94"/>
        <v>8195</v>
      </c>
      <c r="AA84" s="35">
        <f t="shared" si="95"/>
        <v>0</v>
      </c>
      <c r="AB84" s="22">
        <f t="shared" si="96"/>
        <v>3</v>
      </c>
      <c r="AC84" s="120">
        <f>ROUND(I84+mwreg!$G$15/100,3)</f>
        <v>-0.85899999999999999</v>
      </c>
      <c r="AD84" s="106">
        <f>ROUND(J84+mwreg!$G$15/100,3)</f>
        <v>1.149</v>
      </c>
      <c r="AE84" s="106">
        <f>ROUND(K84+mwreg!$G$15/100,3)</f>
        <v>3.2000000000000001E-2</v>
      </c>
      <c r="AF84" s="100">
        <f t="shared" si="97"/>
        <v>0.28420000000000001</v>
      </c>
      <c r="AG84" s="100">
        <f t="shared" si="98"/>
        <v>2.8400000000000002E-2</v>
      </c>
      <c r="AH84" s="100">
        <f t="shared" si="43"/>
        <v>3.1E-2</v>
      </c>
      <c r="AI84" s="22">
        <f t="shared" si="44"/>
        <v>180</v>
      </c>
      <c r="AJ84" s="22">
        <f t="shared" si="45"/>
        <v>60</v>
      </c>
      <c r="AK84" s="106">
        <f t="shared" si="46"/>
        <v>1E-3</v>
      </c>
      <c r="AL84" s="22">
        <f t="shared" si="47"/>
        <v>3</v>
      </c>
      <c r="AM84" s="22">
        <f t="shared" si="48"/>
        <v>1500</v>
      </c>
      <c r="AN84" s="106">
        <f t="shared" si="49"/>
        <v>0.1</v>
      </c>
      <c r="AO84" s="184">
        <f t="shared" si="58"/>
        <v>274270</v>
      </c>
    </row>
    <row r="85" spans="1:41" x14ac:dyDescent="0.2">
      <c r="A85" s="3" t="s">
        <v>296</v>
      </c>
      <c r="B85" s="3" t="s">
        <v>296</v>
      </c>
      <c r="C85" s="55">
        <v>2056</v>
      </c>
      <c r="D85" s="79">
        <v>63.9861</v>
      </c>
      <c r="E85" s="79">
        <v>20.895</v>
      </c>
      <c r="F85" s="14">
        <v>8195</v>
      </c>
      <c r="G85" s="10">
        <v>0</v>
      </c>
      <c r="H85" s="122">
        <v>4</v>
      </c>
      <c r="I85" s="165">
        <v>-1.081</v>
      </c>
      <c r="J85" s="11">
        <v>0.69499999999999995</v>
      </c>
      <c r="K85" s="11">
        <v>-0.109</v>
      </c>
      <c r="L85" s="79">
        <v>0.2059</v>
      </c>
      <c r="M85" s="79">
        <v>2.98E-2</v>
      </c>
      <c r="N85" s="79">
        <v>3.2000000000000001E-2</v>
      </c>
      <c r="O85" s="14">
        <v>180</v>
      </c>
      <c r="P85" s="14">
        <v>60</v>
      </c>
      <c r="Q85" s="11">
        <v>1E-3</v>
      </c>
      <c r="R85" s="14">
        <v>3</v>
      </c>
      <c r="S85" s="14">
        <v>1500</v>
      </c>
      <c r="T85" s="11">
        <v>0.1</v>
      </c>
      <c r="U85" s="122">
        <v>265670</v>
      </c>
      <c r="V85" s="35"/>
      <c r="W85" s="99">
        <f t="shared" si="91"/>
        <v>2056</v>
      </c>
      <c r="X85" s="100">
        <f t="shared" si="92"/>
        <v>63.9861</v>
      </c>
      <c r="Y85" s="100">
        <f t="shared" si="93"/>
        <v>20.895</v>
      </c>
      <c r="Z85" s="22">
        <f t="shared" si="94"/>
        <v>8195</v>
      </c>
      <c r="AA85" s="35">
        <f t="shared" si="95"/>
        <v>0</v>
      </c>
      <c r="AB85" s="22">
        <f t="shared" si="96"/>
        <v>4</v>
      </c>
      <c r="AC85" s="120">
        <f>ROUND(I85+mwreg!$G$15/100,3)</f>
        <v>-1.0569999999999999</v>
      </c>
      <c r="AD85" s="106">
        <f>ROUND(J85+mwreg!$G$15/100,3)</f>
        <v>0.71899999999999997</v>
      </c>
      <c r="AE85" s="106">
        <f>ROUND(K85+mwreg!$G$15/100,3)</f>
        <v>-8.5000000000000006E-2</v>
      </c>
      <c r="AF85" s="100">
        <f t="shared" si="97"/>
        <v>0.2059</v>
      </c>
      <c r="AG85" s="100">
        <f t="shared" si="98"/>
        <v>2.98E-2</v>
      </c>
      <c r="AH85" s="100">
        <f t="shared" si="43"/>
        <v>3.2000000000000001E-2</v>
      </c>
      <c r="AI85" s="22">
        <f t="shared" si="44"/>
        <v>180</v>
      </c>
      <c r="AJ85" s="22">
        <f t="shared" si="45"/>
        <v>60</v>
      </c>
      <c r="AK85" s="106">
        <f t="shared" si="46"/>
        <v>1E-3</v>
      </c>
      <c r="AL85" s="22">
        <f t="shared" si="47"/>
        <v>3</v>
      </c>
      <c r="AM85" s="22">
        <f t="shared" si="48"/>
        <v>1500</v>
      </c>
      <c r="AN85" s="106">
        <f t="shared" si="49"/>
        <v>0.1</v>
      </c>
      <c r="AO85" s="184">
        <f t="shared" si="58"/>
        <v>265670</v>
      </c>
    </row>
    <row r="86" spans="1:41" x14ac:dyDescent="0.2">
      <c r="A86" s="3" t="s">
        <v>296</v>
      </c>
      <c r="B86" s="3" t="s">
        <v>296</v>
      </c>
      <c r="C86" s="55">
        <v>2056</v>
      </c>
      <c r="D86" s="79">
        <v>63.9861</v>
      </c>
      <c r="E86" s="79">
        <v>20.895</v>
      </c>
      <c r="F86" s="14">
        <v>8195</v>
      </c>
      <c r="G86" s="10">
        <v>0</v>
      </c>
      <c r="H86" s="122">
        <v>5</v>
      </c>
      <c r="I86" s="165">
        <v>-0.86099999999999999</v>
      </c>
      <c r="J86" s="11">
        <v>0.48599999999999999</v>
      </c>
      <c r="K86" s="11">
        <v>-0.09</v>
      </c>
      <c r="L86" s="79">
        <v>0.16950000000000001</v>
      </c>
      <c r="M86" s="79">
        <v>3.6499999999999998E-2</v>
      </c>
      <c r="N86" s="79">
        <v>3.9E-2</v>
      </c>
      <c r="O86" s="14">
        <v>180</v>
      </c>
      <c r="P86" s="14">
        <v>60</v>
      </c>
      <c r="Q86" s="11">
        <v>1E-3</v>
      </c>
      <c r="R86" s="14">
        <v>3</v>
      </c>
      <c r="S86" s="14">
        <v>1500</v>
      </c>
      <c r="T86" s="11">
        <v>0.1</v>
      </c>
      <c r="U86" s="122">
        <v>273745</v>
      </c>
      <c r="V86" s="35"/>
      <c r="W86" s="99">
        <f t="shared" si="91"/>
        <v>2056</v>
      </c>
      <c r="X86" s="100">
        <f t="shared" si="92"/>
        <v>63.9861</v>
      </c>
      <c r="Y86" s="100">
        <f t="shared" si="93"/>
        <v>20.895</v>
      </c>
      <c r="Z86" s="22">
        <f t="shared" si="94"/>
        <v>8195</v>
      </c>
      <c r="AA86" s="35">
        <f t="shared" si="95"/>
        <v>0</v>
      </c>
      <c r="AB86" s="22">
        <f t="shared" si="96"/>
        <v>5</v>
      </c>
      <c r="AC86" s="120">
        <f>ROUND(I86+mwreg!$G$15/100,3)</f>
        <v>-0.83699999999999997</v>
      </c>
      <c r="AD86" s="106">
        <f>ROUND(J86+mwreg!$G$15/100,3)</f>
        <v>0.51</v>
      </c>
      <c r="AE86" s="106">
        <f>ROUND(K86+mwreg!$G$15/100,3)</f>
        <v>-6.6000000000000003E-2</v>
      </c>
      <c r="AF86" s="100">
        <f t="shared" si="97"/>
        <v>0.16950000000000001</v>
      </c>
      <c r="AG86" s="100">
        <f t="shared" si="98"/>
        <v>3.6499999999999998E-2</v>
      </c>
      <c r="AH86" s="100">
        <f t="shared" si="43"/>
        <v>3.9E-2</v>
      </c>
      <c r="AI86" s="22">
        <f t="shared" si="44"/>
        <v>180</v>
      </c>
      <c r="AJ86" s="22">
        <f t="shared" si="45"/>
        <v>60</v>
      </c>
      <c r="AK86" s="106">
        <f t="shared" si="46"/>
        <v>1E-3</v>
      </c>
      <c r="AL86" s="22">
        <f t="shared" si="47"/>
        <v>3</v>
      </c>
      <c r="AM86" s="22">
        <f t="shared" si="48"/>
        <v>1500</v>
      </c>
      <c r="AN86" s="106">
        <f t="shared" si="49"/>
        <v>0.1</v>
      </c>
      <c r="AO86" s="184">
        <f t="shared" si="58"/>
        <v>273745</v>
      </c>
    </row>
    <row r="87" spans="1:41" x14ac:dyDescent="0.2">
      <c r="A87" s="3" t="s">
        <v>296</v>
      </c>
      <c r="B87" s="3" t="s">
        <v>296</v>
      </c>
      <c r="C87" s="55">
        <v>2056</v>
      </c>
      <c r="D87" s="79">
        <v>63.9861</v>
      </c>
      <c r="E87" s="79">
        <v>20.895</v>
      </c>
      <c r="F87" s="14">
        <v>8195</v>
      </c>
      <c r="G87" s="10">
        <v>0</v>
      </c>
      <c r="H87" s="122">
        <v>6</v>
      </c>
      <c r="I87" s="165">
        <v>-0.67700000000000005</v>
      </c>
      <c r="J87" s="11">
        <v>0.50600000000000001</v>
      </c>
      <c r="K87" s="11">
        <v>-6.9000000000000006E-2</v>
      </c>
      <c r="L87" s="79">
        <v>0.1477</v>
      </c>
      <c r="M87" s="79">
        <v>3.5299999999999998E-2</v>
      </c>
      <c r="N87" s="79">
        <v>3.7999999999999999E-2</v>
      </c>
      <c r="O87" s="14">
        <v>180</v>
      </c>
      <c r="P87" s="14">
        <v>60</v>
      </c>
      <c r="Q87" s="11">
        <v>1E-3</v>
      </c>
      <c r="R87" s="14">
        <v>3</v>
      </c>
      <c r="S87" s="14">
        <v>1500</v>
      </c>
      <c r="T87" s="11">
        <v>0.1</v>
      </c>
      <c r="U87" s="122">
        <v>296190</v>
      </c>
      <c r="V87" s="35"/>
      <c r="W87" s="99">
        <f t="shared" si="91"/>
        <v>2056</v>
      </c>
      <c r="X87" s="100">
        <f t="shared" si="92"/>
        <v>63.9861</v>
      </c>
      <c r="Y87" s="100">
        <f t="shared" si="93"/>
        <v>20.895</v>
      </c>
      <c r="Z87" s="22">
        <f t="shared" si="94"/>
        <v>8195</v>
      </c>
      <c r="AA87" s="35">
        <f t="shared" si="95"/>
        <v>0</v>
      </c>
      <c r="AB87" s="22">
        <f t="shared" si="96"/>
        <v>6</v>
      </c>
      <c r="AC87" s="120">
        <f>ROUND(I87+mwreg!$G$15/100,3)</f>
        <v>-0.65300000000000002</v>
      </c>
      <c r="AD87" s="106">
        <f>ROUND(J87+mwreg!$G$15/100,3)</f>
        <v>0.53</v>
      </c>
      <c r="AE87" s="106">
        <f>ROUND(K87+mwreg!$G$15/100,3)</f>
        <v>-4.4999999999999998E-2</v>
      </c>
      <c r="AF87" s="100">
        <f t="shared" si="97"/>
        <v>0.1477</v>
      </c>
      <c r="AG87" s="100">
        <f t="shared" si="98"/>
        <v>3.5299999999999998E-2</v>
      </c>
      <c r="AH87" s="100">
        <f t="shared" si="43"/>
        <v>3.7999999999999999E-2</v>
      </c>
      <c r="AI87" s="22">
        <f t="shared" si="44"/>
        <v>180</v>
      </c>
      <c r="AJ87" s="22">
        <f t="shared" si="45"/>
        <v>60</v>
      </c>
      <c r="AK87" s="106">
        <f t="shared" si="46"/>
        <v>1E-3</v>
      </c>
      <c r="AL87" s="22">
        <f t="shared" si="47"/>
        <v>3</v>
      </c>
      <c r="AM87" s="22">
        <f t="shared" si="48"/>
        <v>1500</v>
      </c>
      <c r="AN87" s="106">
        <f t="shared" si="49"/>
        <v>0.1</v>
      </c>
      <c r="AO87" s="184">
        <f t="shared" si="58"/>
        <v>296190</v>
      </c>
    </row>
    <row r="88" spans="1:41" x14ac:dyDescent="0.2">
      <c r="A88" s="3" t="s">
        <v>296</v>
      </c>
      <c r="B88" s="3" t="s">
        <v>296</v>
      </c>
      <c r="C88" s="55">
        <v>2056</v>
      </c>
      <c r="D88" s="79">
        <v>63.9861</v>
      </c>
      <c r="E88" s="79">
        <v>20.895</v>
      </c>
      <c r="F88" s="14">
        <v>8195</v>
      </c>
      <c r="G88" s="10">
        <v>0</v>
      </c>
      <c r="H88" s="122">
        <v>7</v>
      </c>
      <c r="I88" s="165">
        <v>-0.73899999999999999</v>
      </c>
      <c r="J88" s="11">
        <v>0.51700000000000002</v>
      </c>
      <c r="K88" s="11">
        <v>2.5000000000000001E-2</v>
      </c>
      <c r="L88" s="79">
        <v>0.14319999999999999</v>
      </c>
      <c r="M88" s="79">
        <v>3.6400000000000002E-2</v>
      </c>
      <c r="N88" s="79">
        <v>3.9E-2</v>
      </c>
      <c r="O88" s="14">
        <v>180</v>
      </c>
      <c r="P88" s="14">
        <v>60</v>
      </c>
      <c r="Q88" s="11">
        <v>1E-3</v>
      </c>
      <c r="R88" s="14">
        <v>3</v>
      </c>
      <c r="S88" s="14">
        <v>1500</v>
      </c>
      <c r="T88" s="11">
        <v>0.1</v>
      </c>
      <c r="U88" s="122">
        <v>304642</v>
      </c>
      <c r="V88" s="35"/>
      <c r="W88" s="99">
        <f t="shared" si="91"/>
        <v>2056</v>
      </c>
      <c r="X88" s="100">
        <f t="shared" si="92"/>
        <v>63.9861</v>
      </c>
      <c r="Y88" s="100">
        <f t="shared" si="93"/>
        <v>20.895</v>
      </c>
      <c r="Z88" s="22">
        <f t="shared" si="94"/>
        <v>8195</v>
      </c>
      <c r="AA88" s="35">
        <f t="shared" si="95"/>
        <v>0</v>
      </c>
      <c r="AB88" s="22">
        <f t="shared" si="96"/>
        <v>7</v>
      </c>
      <c r="AC88" s="120">
        <f>ROUND(I88+mwreg!$G$15/100,3)</f>
        <v>-0.71499999999999997</v>
      </c>
      <c r="AD88" s="106">
        <f>ROUND(J88+mwreg!$G$15/100,3)</f>
        <v>0.54100000000000004</v>
      </c>
      <c r="AE88" s="106">
        <f>ROUND(K88+mwreg!$G$15/100,3)</f>
        <v>4.9000000000000002E-2</v>
      </c>
      <c r="AF88" s="100">
        <f t="shared" si="97"/>
        <v>0.14319999999999999</v>
      </c>
      <c r="AG88" s="100">
        <f t="shared" si="98"/>
        <v>3.6400000000000002E-2</v>
      </c>
      <c r="AH88" s="100">
        <f t="shared" si="43"/>
        <v>3.9E-2</v>
      </c>
      <c r="AI88" s="22">
        <f t="shared" si="44"/>
        <v>180</v>
      </c>
      <c r="AJ88" s="22">
        <f t="shared" si="45"/>
        <v>60</v>
      </c>
      <c r="AK88" s="106">
        <f t="shared" si="46"/>
        <v>1E-3</v>
      </c>
      <c r="AL88" s="22">
        <f t="shared" si="47"/>
        <v>3</v>
      </c>
      <c r="AM88" s="22">
        <f t="shared" si="48"/>
        <v>1500</v>
      </c>
      <c r="AN88" s="106">
        <f t="shared" si="49"/>
        <v>0.1</v>
      </c>
      <c r="AO88" s="184">
        <f t="shared" si="58"/>
        <v>304642</v>
      </c>
    </row>
    <row r="89" spans="1:41" x14ac:dyDescent="0.2">
      <c r="A89" s="3" t="s">
        <v>296</v>
      </c>
      <c r="B89" s="3" t="s">
        <v>296</v>
      </c>
      <c r="C89" s="55">
        <v>2056</v>
      </c>
      <c r="D89" s="79">
        <v>63.9861</v>
      </c>
      <c r="E89" s="79">
        <v>20.895</v>
      </c>
      <c r="F89" s="14">
        <v>8195</v>
      </c>
      <c r="G89" s="10">
        <v>0</v>
      </c>
      <c r="H89" s="122">
        <v>8</v>
      </c>
      <c r="I89" s="165">
        <v>-0.69699999999999995</v>
      </c>
      <c r="J89" s="11">
        <v>0.79900000000000004</v>
      </c>
      <c r="K89" s="11">
        <v>3.6999999999999998E-2</v>
      </c>
      <c r="L89" s="79">
        <v>0.1447</v>
      </c>
      <c r="M89" s="79">
        <v>3.1699999999999999E-2</v>
      </c>
      <c r="N89" s="79">
        <v>3.4000000000000002E-2</v>
      </c>
      <c r="O89" s="14">
        <v>180</v>
      </c>
      <c r="P89" s="14">
        <v>60</v>
      </c>
      <c r="Q89" s="11">
        <v>1E-3</v>
      </c>
      <c r="R89" s="14">
        <v>3</v>
      </c>
      <c r="S89" s="14">
        <v>1500</v>
      </c>
      <c r="T89" s="11">
        <v>0.1</v>
      </c>
      <c r="U89" s="122">
        <v>302914</v>
      </c>
      <c r="V89" s="35"/>
      <c r="W89" s="99">
        <f t="shared" si="91"/>
        <v>2056</v>
      </c>
      <c r="X89" s="100">
        <f t="shared" si="92"/>
        <v>63.9861</v>
      </c>
      <c r="Y89" s="100">
        <f t="shared" si="93"/>
        <v>20.895</v>
      </c>
      <c r="Z89" s="22">
        <f t="shared" si="94"/>
        <v>8195</v>
      </c>
      <c r="AA89" s="35">
        <f t="shared" si="95"/>
        <v>0</v>
      </c>
      <c r="AB89" s="22">
        <f t="shared" si="96"/>
        <v>8</v>
      </c>
      <c r="AC89" s="120">
        <f>ROUND(I89+mwreg!$G$15/100,3)</f>
        <v>-0.67300000000000004</v>
      </c>
      <c r="AD89" s="106">
        <f>ROUND(J89+mwreg!$G$15/100,3)</f>
        <v>0.82299999999999995</v>
      </c>
      <c r="AE89" s="106">
        <f>ROUND(K89+mwreg!$G$15/100,3)</f>
        <v>6.0999999999999999E-2</v>
      </c>
      <c r="AF89" s="100">
        <f t="shared" si="97"/>
        <v>0.1447</v>
      </c>
      <c r="AG89" s="100">
        <f t="shared" si="98"/>
        <v>3.1699999999999999E-2</v>
      </c>
      <c r="AH89" s="100">
        <f t="shared" si="43"/>
        <v>3.4000000000000002E-2</v>
      </c>
      <c r="AI89" s="22">
        <f t="shared" si="44"/>
        <v>180</v>
      </c>
      <c r="AJ89" s="22">
        <f t="shared" si="45"/>
        <v>60</v>
      </c>
      <c r="AK89" s="106">
        <f t="shared" si="46"/>
        <v>1E-3</v>
      </c>
      <c r="AL89" s="22">
        <f t="shared" si="47"/>
        <v>3</v>
      </c>
      <c r="AM89" s="22">
        <f t="shared" si="48"/>
        <v>1500</v>
      </c>
      <c r="AN89" s="106">
        <f t="shared" si="49"/>
        <v>0.1</v>
      </c>
      <c r="AO89" s="184">
        <f t="shared" si="58"/>
        <v>302914</v>
      </c>
    </row>
    <row r="90" spans="1:41" x14ac:dyDescent="0.2">
      <c r="A90" s="3" t="s">
        <v>296</v>
      </c>
      <c r="B90" s="3" t="s">
        <v>296</v>
      </c>
      <c r="C90" s="55">
        <v>2056</v>
      </c>
      <c r="D90" s="79">
        <v>63.9861</v>
      </c>
      <c r="E90" s="79">
        <v>20.895</v>
      </c>
      <c r="F90" s="14">
        <v>8195</v>
      </c>
      <c r="G90" s="10">
        <v>0</v>
      </c>
      <c r="H90" s="122">
        <v>9</v>
      </c>
      <c r="I90" s="165">
        <v>-0.79300000000000004</v>
      </c>
      <c r="J90" s="11">
        <v>0.749</v>
      </c>
      <c r="K90" s="11">
        <v>9.1999999999999998E-2</v>
      </c>
      <c r="L90" s="79">
        <v>0.18890000000000001</v>
      </c>
      <c r="M90" s="79">
        <v>3.0700000000000002E-2</v>
      </c>
      <c r="N90" s="79">
        <v>3.3000000000000002E-2</v>
      </c>
      <c r="O90" s="14">
        <v>180</v>
      </c>
      <c r="P90" s="14">
        <v>60</v>
      </c>
      <c r="Q90" s="11">
        <v>1E-3</v>
      </c>
      <c r="R90" s="14">
        <v>3</v>
      </c>
      <c r="S90" s="14">
        <v>1500</v>
      </c>
      <c r="T90" s="11">
        <v>0.1</v>
      </c>
      <c r="U90" s="122">
        <v>298112</v>
      </c>
      <c r="V90" s="35"/>
      <c r="W90" s="99">
        <f t="shared" si="91"/>
        <v>2056</v>
      </c>
      <c r="X90" s="100">
        <f t="shared" si="92"/>
        <v>63.9861</v>
      </c>
      <c r="Y90" s="100">
        <f t="shared" si="93"/>
        <v>20.895</v>
      </c>
      <c r="Z90" s="22">
        <f t="shared" si="94"/>
        <v>8195</v>
      </c>
      <c r="AA90" s="35">
        <f t="shared" si="95"/>
        <v>0</v>
      </c>
      <c r="AB90" s="22">
        <f t="shared" si="96"/>
        <v>9</v>
      </c>
      <c r="AC90" s="120">
        <f>ROUND(I90+mwreg!$G$15/100,3)</f>
        <v>-0.76900000000000002</v>
      </c>
      <c r="AD90" s="106">
        <f>ROUND(J90+mwreg!$G$15/100,3)</f>
        <v>0.77300000000000002</v>
      </c>
      <c r="AE90" s="106">
        <f>ROUND(K90+mwreg!$G$15/100,3)</f>
        <v>0.11600000000000001</v>
      </c>
      <c r="AF90" s="100">
        <f t="shared" si="97"/>
        <v>0.18890000000000001</v>
      </c>
      <c r="AG90" s="100">
        <f t="shared" si="98"/>
        <v>3.0700000000000002E-2</v>
      </c>
      <c r="AH90" s="100">
        <f t="shared" si="43"/>
        <v>3.3000000000000002E-2</v>
      </c>
      <c r="AI90" s="22">
        <f t="shared" si="44"/>
        <v>180</v>
      </c>
      <c r="AJ90" s="22">
        <f t="shared" si="45"/>
        <v>60</v>
      </c>
      <c r="AK90" s="106">
        <f t="shared" si="46"/>
        <v>1E-3</v>
      </c>
      <c r="AL90" s="22">
        <f t="shared" si="47"/>
        <v>3</v>
      </c>
      <c r="AM90" s="22">
        <f t="shared" si="48"/>
        <v>1500</v>
      </c>
      <c r="AN90" s="106">
        <f t="shared" si="49"/>
        <v>0.1</v>
      </c>
      <c r="AO90" s="184">
        <f t="shared" si="58"/>
        <v>298112</v>
      </c>
    </row>
    <row r="91" spans="1:41" x14ac:dyDescent="0.2">
      <c r="A91" s="3" t="s">
        <v>296</v>
      </c>
      <c r="B91" s="3" t="s">
        <v>296</v>
      </c>
      <c r="C91" s="55">
        <v>2056</v>
      </c>
      <c r="D91" s="79">
        <v>63.9861</v>
      </c>
      <c r="E91" s="79">
        <v>20.895</v>
      </c>
      <c r="F91" s="14">
        <v>8195</v>
      </c>
      <c r="G91" s="10">
        <v>0</v>
      </c>
      <c r="H91" s="122">
        <v>10</v>
      </c>
      <c r="I91" s="165">
        <v>-1.2190000000000001</v>
      </c>
      <c r="J91" s="11">
        <v>0.96599999999999997</v>
      </c>
      <c r="K91" s="11">
        <v>7.8E-2</v>
      </c>
      <c r="L91" s="79">
        <v>0.23050000000000001</v>
      </c>
      <c r="M91" s="79">
        <v>2.0400000000000001E-2</v>
      </c>
      <c r="N91" s="79">
        <v>2.3E-2</v>
      </c>
      <c r="O91" s="14">
        <v>180</v>
      </c>
      <c r="P91" s="14">
        <v>60</v>
      </c>
      <c r="Q91" s="11">
        <v>1E-3</v>
      </c>
      <c r="R91" s="14">
        <v>3</v>
      </c>
      <c r="S91" s="14">
        <v>1500</v>
      </c>
      <c r="T91" s="11">
        <v>0.1</v>
      </c>
      <c r="U91" s="122">
        <v>312634</v>
      </c>
      <c r="V91" s="35"/>
      <c r="W91" s="99">
        <f t="shared" si="91"/>
        <v>2056</v>
      </c>
      <c r="X91" s="100">
        <f t="shared" si="92"/>
        <v>63.9861</v>
      </c>
      <c r="Y91" s="100">
        <f t="shared" si="93"/>
        <v>20.895</v>
      </c>
      <c r="Z91" s="22">
        <f t="shared" si="94"/>
        <v>8195</v>
      </c>
      <c r="AA91" s="35">
        <f t="shared" si="95"/>
        <v>0</v>
      </c>
      <c r="AB91" s="22">
        <f t="shared" si="96"/>
        <v>10</v>
      </c>
      <c r="AC91" s="120">
        <f>ROUND(I91+mwreg!$G$15/100,3)</f>
        <v>-1.1950000000000001</v>
      </c>
      <c r="AD91" s="106">
        <f>ROUND(J91+mwreg!$G$15/100,3)</f>
        <v>0.99</v>
      </c>
      <c r="AE91" s="106">
        <f>ROUND(K91+mwreg!$G$15/100,3)</f>
        <v>0.10199999999999999</v>
      </c>
      <c r="AF91" s="100">
        <f t="shared" si="97"/>
        <v>0.23050000000000001</v>
      </c>
      <c r="AG91" s="100">
        <f t="shared" si="98"/>
        <v>2.0400000000000001E-2</v>
      </c>
      <c r="AH91" s="100">
        <f t="shared" si="43"/>
        <v>2.3E-2</v>
      </c>
      <c r="AI91" s="22">
        <f t="shared" si="44"/>
        <v>180</v>
      </c>
      <c r="AJ91" s="22">
        <f t="shared" si="45"/>
        <v>60</v>
      </c>
      <c r="AK91" s="106">
        <f t="shared" si="46"/>
        <v>1E-3</v>
      </c>
      <c r="AL91" s="22">
        <f t="shared" si="47"/>
        <v>3</v>
      </c>
      <c r="AM91" s="22">
        <f t="shared" si="48"/>
        <v>1500</v>
      </c>
      <c r="AN91" s="106">
        <f t="shared" si="49"/>
        <v>0.1</v>
      </c>
      <c r="AO91" s="184">
        <f t="shared" si="58"/>
        <v>312634</v>
      </c>
    </row>
    <row r="92" spans="1:41" x14ac:dyDescent="0.2">
      <c r="A92" s="3" t="s">
        <v>296</v>
      </c>
      <c r="B92" s="3" t="s">
        <v>296</v>
      </c>
      <c r="C92" s="55">
        <v>2056</v>
      </c>
      <c r="D92" s="79">
        <v>63.9861</v>
      </c>
      <c r="E92" s="79">
        <v>20.895</v>
      </c>
      <c r="F92" s="14">
        <v>8195</v>
      </c>
      <c r="G92" s="10">
        <v>0</v>
      </c>
      <c r="H92" s="122">
        <v>11</v>
      </c>
      <c r="I92" s="165">
        <v>-1.079</v>
      </c>
      <c r="J92" s="11">
        <v>1.0189999999999999</v>
      </c>
      <c r="K92" s="11">
        <v>8.5999999999999993E-2</v>
      </c>
      <c r="L92" s="79">
        <v>0.26529999999999998</v>
      </c>
      <c r="M92" s="79">
        <v>5.9900000000000002E-2</v>
      </c>
      <c r="N92" s="79">
        <v>6.3E-2</v>
      </c>
      <c r="O92" s="14">
        <v>180</v>
      </c>
      <c r="P92" s="14">
        <v>60</v>
      </c>
      <c r="Q92" s="11">
        <v>1E-3</v>
      </c>
      <c r="R92" s="14">
        <v>3</v>
      </c>
      <c r="S92" s="14">
        <v>1500</v>
      </c>
      <c r="T92" s="11">
        <v>0.1</v>
      </c>
      <c r="U92" s="122">
        <v>302722</v>
      </c>
      <c r="V92" s="35"/>
      <c r="W92" s="99">
        <f t="shared" si="91"/>
        <v>2056</v>
      </c>
      <c r="X92" s="100">
        <f t="shared" si="92"/>
        <v>63.9861</v>
      </c>
      <c r="Y92" s="100">
        <f t="shared" si="93"/>
        <v>20.895</v>
      </c>
      <c r="Z92" s="22">
        <f t="shared" si="94"/>
        <v>8195</v>
      </c>
      <c r="AA92" s="35">
        <f t="shared" si="95"/>
        <v>0</v>
      </c>
      <c r="AB92" s="22">
        <f t="shared" si="96"/>
        <v>11</v>
      </c>
      <c r="AC92" s="120">
        <f>ROUND(I92+mwreg!$G$15/100,3)</f>
        <v>-1.0549999999999999</v>
      </c>
      <c r="AD92" s="106">
        <f>ROUND(J92+mwreg!$G$15/100,3)</f>
        <v>1.0429999999999999</v>
      </c>
      <c r="AE92" s="106">
        <f>ROUND(K92+mwreg!$G$15/100,3)</f>
        <v>0.11</v>
      </c>
      <c r="AF92" s="100">
        <f t="shared" si="97"/>
        <v>0.26529999999999998</v>
      </c>
      <c r="AG92" s="100">
        <f t="shared" si="98"/>
        <v>5.9900000000000002E-2</v>
      </c>
      <c r="AH92" s="100">
        <f t="shared" si="43"/>
        <v>6.3E-2</v>
      </c>
      <c r="AI92" s="22">
        <f t="shared" si="44"/>
        <v>180</v>
      </c>
      <c r="AJ92" s="22">
        <f t="shared" si="45"/>
        <v>60</v>
      </c>
      <c r="AK92" s="106">
        <f t="shared" si="46"/>
        <v>1E-3</v>
      </c>
      <c r="AL92" s="22">
        <f t="shared" si="47"/>
        <v>3</v>
      </c>
      <c r="AM92" s="22">
        <f t="shared" si="48"/>
        <v>1500</v>
      </c>
      <c r="AN92" s="106">
        <f t="shared" si="49"/>
        <v>0.1</v>
      </c>
      <c r="AO92" s="184">
        <f t="shared" si="58"/>
        <v>302722</v>
      </c>
    </row>
    <row r="93" spans="1:41" x14ac:dyDescent="0.2">
      <c r="A93" s="3" t="s">
        <v>296</v>
      </c>
      <c r="B93" s="3" t="s">
        <v>296</v>
      </c>
      <c r="C93" s="55">
        <v>2056</v>
      </c>
      <c r="D93" s="79">
        <v>63.9861</v>
      </c>
      <c r="E93" s="79">
        <v>20.895</v>
      </c>
      <c r="F93" s="14">
        <v>8195</v>
      </c>
      <c r="G93" s="10">
        <v>0</v>
      </c>
      <c r="H93" s="122">
        <v>12</v>
      </c>
      <c r="I93" s="165">
        <v>-0.89700000000000002</v>
      </c>
      <c r="J93" s="11">
        <v>1.127</v>
      </c>
      <c r="K93" s="11">
        <v>0.14099999999999999</v>
      </c>
      <c r="L93" s="79">
        <v>0.28210000000000002</v>
      </c>
      <c r="M93" s="79">
        <v>3.7100000000000001E-2</v>
      </c>
      <c r="N93" s="79">
        <v>0.04</v>
      </c>
      <c r="O93" s="14">
        <v>180</v>
      </c>
      <c r="P93" s="14">
        <v>60</v>
      </c>
      <c r="Q93" s="11">
        <v>1E-3</v>
      </c>
      <c r="R93" s="14">
        <v>3</v>
      </c>
      <c r="S93" s="14">
        <v>1500</v>
      </c>
      <c r="T93" s="11">
        <v>0.1</v>
      </c>
      <c r="U93" s="122">
        <v>277809</v>
      </c>
      <c r="V93" s="35"/>
      <c r="W93" s="99">
        <f t="shared" si="91"/>
        <v>2056</v>
      </c>
      <c r="X93" s="100">
        <f t="shared" si="92"/>
        <v>63.9861</v>
      </c>
      <c r="Y93" s="100">
        <f t="shared" si="93"/>
        <v>20.895</v>
      </c>
      <c r="Z93" s="22">
        <f t="shared" si="94"/>
        <v>8195</v>
      </c>
      <c r="AA93" s="35">
        <f t="shared" si="95"/>
        <v>0</v>
      </c>
      <c r="AB93" s="22">
        <f t="shared" si="96"/>
        <v>12</v>
      </c>
      <c r="AC93" s="120">
        <f>ROUND(I93+mwreg!$G$15/100,3)</f>
        <v>-0.873</v>
      </c>
      <c r="AD93" s="106">
        <f>ROUND(J93+mwreg!$G$15/100,3)</f>
        <v>1.151</v>
      </c>
      <c r="AE93" s="106">
        <f>ROUND(K93+mwreg!$G$15/100,3)</f>
        <v>0.16500000000000001</v>
      </c>
      <c r="AF93" s="100">
        <f t="shared" si="97"/>
        <v>0.28210000000000002</v>
      </c>
      <c r="AG93" s="100">
        <f t="shared" si="98"/>
        <v>3.7100000000000001E-2</v>
      </c>
      <c r="AH93" s="100">
        <f t="shared" si="43"/>
        <v>0.04</v>
      </c>
      <c r="AI93" s="22">
        <f t="shared" si="44"/>
        <v>180</v>
      </c>
      <c r="AJ93" s="22">
        <f t="shared" si="45"/>
        <v>60</v>
      </c>
      <c r="AK93" s="106">
        <f t="shared" si="46"/>
        <v>1E-3</v>
      </c>
      <c r="AL93" s="22">
        <f t="shared" si="47"/>
        <v>3</v>
      </c>
      <c r="AM93" s="22">
        <f t="shared" si="48"/>
        <v>1500</v>
      </c>
      <c r="AN93" s="106">
        <f t="shared" si="49"/>
        <v>0.1</v>
      </c>
      <c r="AO93" s="184">
        <f t="shared" si="58"/>
        <v>277809</v>
      </c>
    </row>
    <row r="94" spans="1:41" x14ac:dyDescent="0.2">
      <c r="A94" s="3" t="str">
        <f>stat_uppg!A16</f>
        <v>57/35124</v>
      </c>
      <c r="B94" s="3" t="str">
        <f>stat_uppg!B16</f>
        <v>HOLMSUND (SJÖV)</v>
      </c>
      <c r="C94" s="52">
        <v>35124</v>
      </c>
      <c r="D94" s="105">
        <v>63.655500000000004</v>
      </c>
      <c r="E94" s="105">
        <v>20.341000000000001</v>
      </c>
      <c r="F94" s="20">
        <v>8195</v>
      </c>
      <c r="G94" s="18">
        <v>0</v>
      </c>
      <c r="H94" s="53">
        <v>1</v>
      </c>
      <c r="I94" s="167">
        <f>ROUND(0.633*I82+0.367*I118,3)</f>
        <v>-0.98799999999999999</v>
      </c>
      <c r="J94" s="104">
        <f>ROUND(0.633*J82+0.367*J118,3)</f>
        <v>1.2470000000000001</v>
      </c>
      <c r="K94" s="104">
        <f>ROUND(0.633*K82+0.367*K118,3)</f>
        <v>0.189</v>
      </c>
      <c r="L94" s="105">
        <f>ROUND(0.633*L82+0.367*L118,4)</f>
        <v>0.29430000000000001</v>
      </c>
      <c r="M94" s="105">
        <f t="shared" ref="M94:N94" si="99">ROUND(0.633*M82+0.367*M118,4)</f>
        <v>0.04</v>
      </c>
      <c r="N94" s="105">
        <f t="shared" si="99"/>
        <v>4.2200000000000001E-2</v>
      </c>
      <c r="O94" s="20">
        <f>ROUND(0.633*O82+0.367*O118,0)</f>
        <v>180</v>
      </c>
      <c r="P94" s="20">
        <f>ROUND(0.633*P82+0.367*P118,0)</f>
        <v>60</v>
      </c>
      <c r="Q94" s="104">
        <f>ROUND(0.633*Q82+0.367*Q118,3)</f>
        <v>1E-3</v>
      </c>
      <c r="R94" s="20">
        <f>ROUND(0.633*R82+0.367*R118,0)</f>
        <v>3</v>
      </c>
      <c r="S94" s="20">
        <f>ROUND(0.633*S82+0.367*S118,0)</f>
        <v>1500</v>
      </c>
      <c r="T94" s="104">
        <f>ROUND(0.633*T82+0.367*T118,3)</f>
        <v>0.1</v>
      </c>
      <c r="U94" s="54" t="s">
        <v>282</v>
      </c>
      <c r="V94" s="21"/>
      <c r="W94" s="58">
        <f t="shared" si="91"/>
        <v>35124</v>
      </c>
      <c r="X94" s="102">
        <f t="shared" si="92"/>
        <v>63.655500000000004</v>
      </c>
      <c r="Y94" s="102">
        <f t="shared" si="93"/>
        <v>20.341000000000001</v>
      </c>
      <c r="Z94" s="21">
        <f t="shared" si="94"/>
        <v>8195</v>
      </c>
      <c r="AA94" s="44">
        <f t="shared" si="95"/>
        <v>0</v>
      </c>
      <c r="AB94" s="21">
        <f t="shared" si="96"/>
        <v>1</v>
      </c>
      <c r="AC94" s="121">
        <f>ROUND(I94+mwreg!$G$16/100,3)</f>
        <v>-0.97399999999999998</v>
      </c>
      <c r="AD94" s="101">
        <f>ROUND(J94+mwreg!$G$16/100,3)</f>
        <v>1.2609999999999999</v>
      </c>
      <c r="AE94" s="101">
        <f>ROUND(K94+mwreg!$G$16/100,3)</f>
        <v>0.20300000000000001</v>
      </c>
      <c r="AF94" s="102">
        <f t="shared" si="97"/>
        <v>0.29430000000000001</v>
      </c>
      <c r="AG94" s="102">
        <f t="shared" si="98"/>
        <v>0.04</v>
      </c>
      <c r="AH94" s="102">
        <f t="shared" si="43"/>
        <v>4.2200000000000001E-2</v>
      </c>
      <c r="AI94" s="21">
        <f t="shared" si="44"/>
        <v>180</v>
      </c>
      <c r="AJ94" s="21">
        <f t="shared" si="45"/>
        <v>60</v>
      </c>
      <c r="AK94" s="101">
        <f t="shared" si="46"/>
        <v>1E-3</v>
      </c>
      <c r="AL94" s="21">
        <f t="shared" si="47"/>
        <v>3</v>
      </c>
      <c r="AM94" s="21">
        <f t="shared" si="48"/>
        <v>1500</v>
      </c>
      <c r="AN94" s="101">
        <f t="shared" si="49"/>
        <v>0.1</v>
      </c>
      <c r="AO94" s="185" t="str">
        <f t="shared" si="58"/>
        <v>NaN</v>
      </c>
    </row>
    <row r="95" spans="1:41" x14ac:dyDescent="0.2">
      <c r="A95" s="3" t="s">
        <v>296</v>
      </c>
      <c r="B95" s="3" t="s">
        <v>296</v>
      </c>
      <c r="C95" s="52">
        <v>35124</v>
      </c>
      <c r="D95" s="105">
        <v>63.655500000000004</v>
      </c>
      <c r="E95" s="105">
        <v>20.341000000000001</v>
      </c>
      <c r="F95" s="20">
        <v>8195</v>
      </c>
      <c r="G95" s="18">
        <v>0</v>
      </c>
      <c r="H95" s="53">
        <v>2</v>
      </c>
      <c r="I95" s="167">
        <f t="shared" ref="I95:K105" si="100">ROUND(0.633*I83+0.367*I119,3)</f>
        <v>-0.96899999999999997</v>
      </c>
      <c r="J95" s="104">
        <f t="shared" si="100"/>
        <v>1.38</v>
      </c>
      <c r="K95" s="104">
        <f t="shared" si="100"/>
        <v>0.14599999999999999</v>
      </c>
      <c r="L95" s="105">
        <f t="shared" ref="L95:N105" si="101">ROUND(0.633*L83+0.367*L119,4)</f>
        <v>0.33300000000000002</v>
      </c>
      <c r="M95" s="105">
        <f t="shared" si="101"/>
        <v>2.1399999999999999E-2</v>
      </c>
      <c r="N95" s="105">
        <f t="shared" si="101"/>
        <v>2.3300000000000001E-2</v>
      </c>
      <c r="O95" s="20">
        <f t="shared" ref="O95:P95" si="102">ROUND(0.633*O83+0.367*O119,0)</f>
        <v>180</v>
      </c>
      <c r="P95" s="20">
        <f t="shared" si="102"/>
        <v>60</v>
      </c>
      <c r="Q95" s="104">
        <f t="shared" ref="Q95:Q105" si="103">ROUND(0.633*Q83+0.367*Q119,3)</f>
        <v>1E-3</v>
      </c>
      <c r="R95" s="20">
        <f t="shared" ref="R95:S95" si="104">ROUND(0.633*R83+0.367*R119,0)</f>
        <v>3</v>
      </c>
      <c r="S95" s="20">
        <f t="shared" si="104"/>
        <v>1500</v>
      </c>
      <c r="T95" s="104">
        <f t="shared" ref="T95:T105" si="105">ROUND(0.633*T83+0.367*T119,3)</f>
        <v>0.1</v>
      </c>
      <c r="U95" s="54" t="s">
        <v>282</v>
      </c>
      <c r="V95" s="21"/>
      <c r="W95" s="58">
        <f t="shared" si="91"/>
        <v>35124</v>
      </c>
      <c r="X95" s="102">
        <f t="shared" si="92"/>
        <v>63.655500000000004</v>
      </c>
      <c r="Y95" s="102">
        <f t="shared" si="93"/>
        <v>20.341000000000001</v>
      </c>
      <c r="Z95" s="21">
        <f t="shared" si="94"/>
        <v>8195</v>
      </c>
      <c r="AA95" s="44">
        <f t="shared" si="95"/>
        <v>0</v>
      </c>
      <c r="AB95" s="21">
        <f t="shared" si="96"/>
        <v>2</v>
      </c>
      <c r="AC95" s="121">
        <f>ROUND(I95+mwreg!$G$16/100,3)</f>
        <v>-0.95499999999999996</v>
      </c>
      <c r="AD95" s="101">
        <f>ROUND(J95+mwreg!$G$16/100,3)</f>
        <v>1.3939999999999999</v>
      </c>
      <c r="AE95" s="101">
        <f>ROUND(K95+mwreg!$G$16/100,3)</f>
        <v>0.16</v>
      </c>
      <c r="AF95" s="102">
        <f t="shared" si="97"/>
        <v>0.33300000000000002</v>
      </c>
      <c r="AG95" s="102">
        <f t="shared" si="98"/>
        <v>2.1399999999999999E-2</v>
      </c>
      <c r="AH95" s="102">
        <f t="shared" si="43"/>
        <v>2.3300000000000001E-2</v>
      </c>
      <c r="AI95" s="21">
        <f t="shared" si="44"/>
        <v>180</v>
      </c>
      <c r="AJ95" s="21">
        <f t="shared" si="45"/>
        <v>60</v>
      </c>
      <c r="AK95" s="101">
        <f t="shared" si="46"/>
        <v>1E-3</v>
      </c>
      <c r="AL95" s="21">
        <f t="shared" si="47"/>
        <v>3</v>
      </c>
      <c r="AM95" s="21">
        <f t="shared" si="48"/>
        <v>1500</v>
      </c>
      <c r="AN95" s="101">
        <f t="shared" si="49"/>
        <v>0.1</v>
      </c>
      <c r="AO95" s="185" t="str">
        <f t="shared" si="58"/>
        <v>NaN</v>
      </c>
    </row>
    <row r="96" spans="1:41" x14ac:dyDescent="0.2">
      <c r="A96" s="3" t="s">
        <v>296</v>
      </c>
      <c r="B96" s="3" t="s">
        <v>296</v>
      </c>
      <c r="C96" s="52">
        <v>35124</v>
      </c>
      <c r="D96" s="105">
        <v>63.655500000000004</v>
      </c>
      <c r="E96" s="105">
        <v>20.341000000000001</v>
      </c>
      <c r="F96" s="20">
        <v>8195</v>
      </c>
      <c r="G96" s="18">
        <v>0</v>
      </c>
      <c r="H96" s="53">
        <v>3</v>
      </c>
      <c r="I96" s="167">
        <f t="shared" si="100"/>
        <v>-0.80500000000000005</v>
      </c>
      <c r="J96" s="104">
        <f t="shared" si="100"/>
        <v>1.0249999999999999</v>
      </c>
      <c r="K96" s="104">
        <f t="shared" si="100"/>
        <v>5.3999999999999999E-2</v>
      </c>
      <c r="L96" s="105">
        <f t="shared" si="101"/>
        <v>0.2661</v>
      </c>
      <c r="M96" s="105">
        <f t="shared" si="101"/>
        <v>2.3300000000000001E-2</v>
      </c>
      <c r="N96" s="105">
        <f t="shared" si="101"/>
        <v>2.5100000000000001E-2</v>
      </c>
      <c r="O96" s="20">
        <f t="shared" ref="O96:P96" si="106">ROUND(0.633*O84+0.367*O120,0)</f>
        <v>180</v>
      </c>
      <c r="P96" s="20">
        <f t="shared" si="106"/>
        <v>60</v>
      </c>
      <c r="Q96" s="104">
        <f t="shared" si="103"/>
        <v>1E-3</v>
      </c>
      <c r="R96" s="20">
        <f t="shared" ref="R96:S96" si="107">ROUND(0.633*R84+0.367*R120,0)</f>
        <v>3</v>
      </c>
      <c r="S96" s="20">
        <f t="shared" si="107"/>
        <v>1500</v>
      </c>
      <c r="T96" s="104">
        <f t="shared" si="105"/>
        <v>0.1</v>
      </c>
      <c r="U96" s="54" t="s">
        <v>282</v>
      </c>
      <c r="V96" s="21"/>
      <c r="W96" s="58">
        <f t="shared" si="91"/>
        <v>35124</v>
      </c>
      <c r="X96" s="102">
        <f t="shared" si="92"/>
        <v>63.655500000000004</v>
      </c>
      <c r="Y96" s="102">
        <f t="shared" si="93"/>
        <v>20.341000000000001</v>
      </c>
      <c r="Z96" s="21">
        <f t="shared" si="94"/>
        <v>8195</v>
      </c>
      <c r="AA96" s="44">
        <f t="shared" si="95"/>
        <v>0</v>
      </c>
      <c r="AB96" s="21">
        <f t="shared" si="96"/>
        <v>3</v>
      </c>
      <c r="AC96" s="121">
        <f>ROUND(I96+mwreg!$G$16/100,3)</f>
        <v>-0.79100000000000004</v>
      </c>
      <c r="AD96" s="101">
        <f>ROUND(J96+mwreg!$G$16/100,3)</f>
        <v>1.0389999999999999</v>
      </c>
      <c r="AE96" s="101">
        <f>ROUND(K96+mwreg!$G$16/100,3)</f>
        <v>6.8000000000000005E-2</v>
      </c>
      <c r="AF96" s="102">
        <f t="shared" si="97"/>
        <v>0.2661</v>
      </c>
      <c r="AG96" s="102">
        <f t="shared" si="98"/>
        <v>2.3300000000000001E-2</v>
      </c>
      <c r="AH96" s="102">
        <f t="shared" si="43"/>
        <v>2.5100000000000001E-2</v>
      </c>
      <c r="AI96" s="21">
        <f t="shared" si="44"/>
        <v>180</v>
      </c>
      <c r="AJ96" s="21">
        <f t="shared" si="45"/>
        <v>60</v>
      </c>
      <c r="AK96" s="101">
        <f t="shared" si="46"/>
        <v>1E-3</v>
      </c>
      <c r="AL96" s="21">
        <f t="shared" si="47"/>
        <v>3</v>
      </c>
      <c r="AM96" s="21">
        <f t="shared" si="48"/>
        <v>1500</v>
      </c>
      <c r="AN96" s="101">
        <f t="shared" si="49"/>
        <v>0.1</v>
      </c>
      <c r="AO96" s="185" t="str">
        <f t="shared" si="58"/>
        <v>NaN</v>
      </c>
    </row>
    <row r="97" spans="1:41" x14ac:dyDescent="0.2">
      <c r="A97" s="3" t="s">
        <v>296</v>
      </c>
      <c r="B97" s="3" t="s">
        <v>296</v>
      </c>
      <c r="C97" s="52">
        <v>35124</v>
      </c>
      <c r="D97" s="105">
        <v>63.655500000000004</v>
      </c>
      <c r="E97" s="105">
        <v>20.341000000000001</v>
      </c>
      <c r="F97" s="20">
        <v>8195</v>
      </c>
      <c r="G97" s="18">
        <v>0</v>
      </c>
      <c r="H97" s="53">
        <v>4</v>
      </c>
      <c r="I97" s="167">
        <f t="shared" si="100"/>
        <v>-0.88400000000000001</v>
      </c>
      <c r="J97" s="104">
        <f t="shared" si="100"/>
        <v>0.624</v>
      </c>
      <c r="K97" s="104">
        <f t="shared" si="100"/>
        <v>-0.10199999999999999</v>
      </c>
      <c r="L97" s="105">
        <f t="shared" si="101"/>
        <v>0.1993</v>
      </c>
      <c r="M97" s="105">
        <f t="shared" si="101"/>
        <v>2.2499999999999999E-2</v>
      </c>
      <c r="N97" s="105">
        <f t="shared" si="101"/>
        <v>2.4E-2</v>
      </c>
      <c r="O97" s="20">
        <f t="shared" ref="O97:P97" si="108">ROUND(0.633*O85+0.367*O121,0)</f>
        <v>180</v>
      </c>
      <c r="P97" s="20">
        <f t="shared" si="108"/>
        <v>60</v>
      </c>
      <c r="Q97" s="104">
        <f t="shared" si="103"/>
        <v>1E-3</v>
      </c>
      <c r="R97" s="20">
        <f t="shared" ref="R97:S97" si="109">ROUND(0.633*R85+0.367*R121,0)</f>
        <v>3</v>
      </c>
      <c r="S97" s="20">
        <f t="shared" si="109"/>
        <v>1500</v>
      </c>
      <c r="T97" s="104">
        <f t="shared" si="105"/>
        <v>0.1</v>
      </c>
      <c r="U97" s="54" t="s">
        <v>282</v>
      </c>
      <c r="V97" s="21"/>
      <c r="W97" s="58">
        <f t="shared" si="91"/>
        <v>35124</v>
      </c>
      <c r="X97" s="102">
        <f t="shared" si="92"/>
        <v>63.655500000000004</v>
      </c>
      <c r="Y97" s="102">
        <f t="shared" si="93"/>
        <v>20.341000000000001</v>
      </c>
      <c r="Z97" s="21">
        <f t="shared" si="94"/>
        <v>8195</v>
      </c>
      <c r="AA97" s="44">
        <f t="shared" si="95"/>
        <v>0</v>
      </c>
      <c r="AB97" s="21">
        <f t="shared" si="96"/>
        <v>4</v>
      </c>
      <c r="AC97" s="121">
        <f>ROUND(I97+mwreg!$G$16/100,3)</f>
        <v>-0.87</v>
      </c>
      <c r="AD97" s="101">
        <f>ROUND(J97+mwreg!$G$16/100,3)</f>
        <v>0.63800000000000001</v>
      </c>
      <c r="AE97" s="101">
        <f>ROUND(K97+mwreg!$G$16/100,3)</f>
        <v>-8.7999999999999995E-2</v>
      </c>
      <c r="AF97" s="102">
        <f t="shared" si="97"/>
        <v>0.1993</v>
      </c>
      <c r="AG97" s="102">
        <f t="shared" si="98"/>
        <v>2.2499999999999999E-2</v>
      </c>
      <c r="AH97" s="102">
        <f t="shared" si="43"/>
        <v>2.4E-2</v>
      </c>
      <c r="AI97" s="21">
        <f t="shared" si="44"/>
        <v>180</v>
      </c>
      <c r="AJ97" s="21">
        <f t="shared" si="45"/>
        <v>60</v>
      </c>
      <c r="AK97" s="101">
        <f t="shared" si="46"/>
        <v>1E-3</v>
      </c>
      <c r="AL97" s="21">
        <f t="shared" si="47"/>
        <v>3</v>
      </c>
      <c r="AM97" s="21">
        <f t="shared" si="48"/>
        <v>1500</v>
      </c>
      <c r="AN97" s="101">
        <f t="shared" si="49"/>
        <v>0.1</v>
      </c>
      <c r="AO97" s="185" t="str">
        <f t="shared" si="58"/>
        <v>NaN</v>
      </c>
    </row>
    <row r="98" spans="1:41" x14ac:dyDescent="0.2">
      <c r="A98" s="3" t="s">
        <v>296</v>
      </c>
      <c r="B98" s="3" t="s">
        <v>296</v>
      </c>
      <c r="C98" s="52">
        <v>35124</v>
      </c>
      <c r="D98" s="105">
        <v>63.655500000000004</v>
      </c>
      <c r="E98" s="105">
        <v>20.341000000000001</v>
      </c>
      <c r="F98" s="20">
        <v>8195</v>
      </c>
      <c r="G98" s="18">
        <v>0</v>
      </c>
      <c r="H98" s="53">
        <v>5</v>
      </c>
      <c r="I98" s="167">
        <f t="shared" si="100"/>
        <v>-0.72399999999999998</v>
      </c>
      <c r="J98" s="104">
        <f t="shared" si="100"/>
        <v>0.45</v>
      </c>
      <c r="K98" s="104">
        <f t="shared" si="100"/>
        <v>-8.2000000000000003E-2</v>
      </c>
      <c r="L98" s="105">
        <f t="shared" si="101"/>
        <v>0.15939999999999999</v>
      </c>
      <c r="M98" s="105">
        <f t="shared" si="101"/>
        <v>3.5400000000000001E-2</v>
      </c>
      <c r="N98" s="105">
        <f t="shared" si="101"/>
        <v>3.7199999999999997E-2</v>
      </c>
      <c r="O98" s="20">
        <f t="shared" ref="O98:P98" si="110">ROUND(0.633*O86+0.367*O122,0)</f>
        <v>180</v>
      </c>
      <c r="P98" s="20">
        <f t="shared" si="110"/>
        <v>60</v>
      </c>
      <c r="Q98" s="104">
        <f t="shared" si="103"/>
        <v>1E-3</v>
      </c>
      <c r="R98" s="20">
        <f t="shared" ref="R98:S98" si="111">ROUND(0.633*R86+0.367*R122,0)</f>
        <v>3</v>
      </c>
      <c r="S98" s="20">
        <f t="shared" si="111"/>
        <v>1500</v>
      </c>
      <c r="T98" s="104">
        <f t="shared" si="105"/>
        <v>0.1</v>
      </c>
      <c r="U98" s="54" t="s">
        <v>282</v>
      </c>
      <c r="V98" s="21"/>
      <c r="W98" s="58">
        <f t="shared" si="91"/>
        <v>35124</v>
      </c>
      <c r="X98" s="102">
        <f t="shared" si="92"/>
        <v>63.655500000000004</v>
      </c>
      <c r="Y98" s="102">
        <f t="shared" si="93"/>
        <v>20.341000000000001</v>
      </c>
      <c r="Z98" s="21">
        <f t="shared" si="94"/>
        <v>8195</v>
      </c>
      <c r="AA98" s="44">
        <f t="shared" si="95"/>
        <v>0</v>
      </c>
      <c r="AB98" s="21">
        <f t="shared" si="96"/>
        <v>5</v>
      </c>
      <c r="AC98" s="121">
        <f>ROUND(I98+mwreg!$G$16/100,3)</f>
        <v>-0.71</v>
      </c>
      <c r="AD98" s="101">
        <f>ROUND(J98+mwreg!$G$16/100,3)</f>
        <v>0.46400000000000002</v>
      </c>
      <c r="AE98" s="101">
        <f>ROUND(K98+mwreg!$G$16/100,3)</f>
        <v>-6.8000000000000005E-2</v>
      </c>
      <c r="AF98" s="102">
        <f t="shared" si="97"/>
        <v>0.15939999999999999</v>
      </c>
      <c r="AG98" s="102">
        <f t="shared" si="98"/>
        <v>3.5400000000000001E-2</v>
      </c>
      <c r="AH98" s="102">
        <f t="shared" ref="AH98:AH153" si="112">N98</f>
        <v>3.7199999999999997E-2</v>
      </c>
      <c r="AI98" s="21">
        <f t="shared" ref="AI98:AI153" si="113">O98</f>
        <v>180</v>
      </c>
      <c r="AJ98" s="21">
        <f t="shared" ref="AJ98:AJ153" si="114">P98</f>
        <v>60</v>
      </c>
      <c r="AK98" s="101">
        <f t="shared" ref="AK98:AK153" si="115">Q98</f>
        <v>1E-3</v>
      </c>
      <c r="AL98" s="21">
        <f t="shared" ref="AL98:AL153" si="116">R98</f>
        <v>3</v>
      </c>
      <c r="AM98" s="21">
        <f t="shared" ref="AM98:AM153" si="117">S98</f>
        <v>1500</v>
      </c>
      <c r="AN98" s="101">
        <f t="shared" ref="AN98:AN153" si="118">T98</f>
        <v>0.1</v>
      </c>
      <c r="AO98" s="185" t="str">
        <f t="shared" si="58"/>
        <v>NaN</v>
      </c>
    </row>
    <row r="99" spans="1:41" x14ac:dyDescent="0.2">
      <c r="A99" s="3" t="s">
        <v>296</v>
      </c>
      <c r="B99" s="3" t="s">
        <v>296</v>
      </c>
      <c r="C99" s="52">
        <v>35124</v>
      </c>
      <c r="D99" s="105">
        <v>63.655500000000004</v>
      </c>
      <c r="E99" s="105">
        <v>20.341000000000001</v>
      </c>
      <c r="F99" s="20">
        <v>8195</v>
      </c>
      <c r="G99" s="18">
        <v>0</v>
      </c>
      <c r="H99" s="53">
        <v>6</v>
      </c>
      <c r="I99" s="167">
        <f t="shared" si="100"/>
        <v>-0.61499999999999999</v>
      </c>
      <c r="J99" s="104">
        <f t="shared" si="100"/>
        <v>0.502</v>
      </c>
      <c r="K99" s="104">
        <f t="shared" si="100"/>
        <v>-7.4999999999999997E-2</v>
      </c>
      <c r="L99" s="105">
        <f t="shared" si="101"/>
        <v>0.1401</v>
      </c>
      <c r="M99" s="105">
        <f t="shared" si="101"/>
        <v>2.53E-2</v>
      </c>
      <c r="N99" s="105">
        <f t="shared" si="101"/>
        <v>2.7099999999999999E-2</v>
      </c>
      <c r="O99" s="20">
        <f t="shared" ref="O99:P99" si="119">ROUND(0.633*O87+0.367*O123,0)</f>
        <v>180</v>
      </c>
      <c r="P99" s="20">
        <f t="shared" si="119"/>
        <v>60</v>
      </c>
      <c r="Q99" s="104">
        <f t="shared" si="103"/>
        <v>1E-3</v>
      </c>
      <c r="R99" s="20">
        <f t="shared" ref="R99:S99" si="120">ROUND(0.633*R87+0.367*R123,0)</f>
        <v>3</v>
      </c>
      <c r="S99" s="20">
        <f t="shared" si="120"/>
        <v>1500</v>
      </c>
      <c r="T99" s="104">
        <f t="shared" si="105"/>
        <v>0.1</v>
      </c>
      <c r="U99" s="54" t="s">
        <v>282</v>
      </c>
      <c r="V99" s="21"/>
      <c r="W99" s="58">
        <f t="shared" si="91"/>
        <v>35124</v>
      </c>
      <c r="X99" s="102">
        <f t="shared" si="92"/>
        <v>63.655500000000004</v>
      </c>
      <c r="Y99" s="102">
        <f t="shared" si="93"/>
        <v>20.341000000000001</v>
      </c>
      <c r="Z99" s="21">
        <f t="shared" si="94"/>
        <v>8195</v>
      </c>
      <c r="AA99" s="44">
        <f t="shared" si="95"/>
        <v>0</v>
      </c>
      <c r="AB99" s="21">
        <f t="shared" si="96"/>
        <v>6</v>
      </c>
      <c r="AC99" s="121">
        <f>ROUND(I99+mwreg!$G$16/100,3)</f>
        <v>-0.60099999999999998</v>
      </c>
      <c r="AD99" s="101">
        <f>ROUND(J99+mwreg!$G$16/100,3)</f>
        <v>0.51600000000000001</v>
      </c>
      <c r="AE99" s="101">
        <f>ROUND(K99+mwreg!$G$16/100,3)</f>
        <v>-6.0999999999999999E-2</v>
      </c>
      <c r="AF99" s="102">
        <f t="shared" si="97"/>
        <v>0.1401</v>
      </c>
      <c r="AG99" s="102">
        <f t="shared" si="98"/>
        <v>2.53E-2</v>
      </c>
      <c r="AH99" s="102">
        <f t="shared" si="112"/>
        <v>2.7099999999999999E-2</v>
      </c>
      <c r="AI99" s="21">
        <f t="shared" si="113"/>
        <v>180</v>
      </c>
      <c r="AJ99" s="21">
        <f t="shared" si="114"/>
        <v>60</v>
      </c>
      <c r="AK99" s="101">
        <f t="shared" si="115"/>
        <v>1E-3</v>
      </c>
      <c r="AL99" s="21">
        <f t="shared" si="116"/>
        <v>3</v>
      </c>
      <c r="AM99" s="21">
        <f t="shared" si="117"/>
        <v>1500</v>
      </c>
      <c r="AN99" s="101">
        <f t="shared" si="118"/>
        <v>0.1</v>
      </c>
      <c r="AO99" s="185" t="str">
        <f t="shared" si="58"/>
        <v>NaN</v>
      </c>
    </row>
    <row r="100" spans="1:41" x14ac:dyDescent="0.2">
      <c r="A100" s="3" t="s">
        <v>296</v>
      </c>
      <c r="B100" s="3" t="s">
        <v>296</v>
      </c>
      <c r="C100" s="52">
        <v>35124</v>
      </c>
      <c r="D100" s="105">
        <v>63.655500000000004</v>
      </c>
      <c r="E100" s="105">
        <v>20.341000000000001</v>
      </c>
      <c r="F100" s="20">
        <v>8195</v>
      </c>
      <c r="G100" s="18">
        <v>0</v>
      </c>
      <c r="H100" s="53">
        <v>7</v>
      </c>
      <c r="I100" s="167">
        <f t="shared" si="100"/>
        <v>-0.60099999999999998</v>
      </c>
      <c r="J100" s="104">
        <f t="shared" si="100"/>
        <v>0.48799999999999999</v>
      </c>
      <c r="K100" s="104">
        <f t="shared" si="100"/>
        <v>2.8000000000000001E-2</v>
      </c>
      <c r="L100" s="105">
        <f t="shared" si="101"/>
        <v>0.1386</v>
      </c>
      <c r="M100" s="105">
        <f t="shared" si="101"/>
        <v>2.3699999999999999E-2</v>
      </c>
      <c r="N100" s="105">
        <f t="shared" si="101"/>
        <v>2.5399999999999999E-2</v>
      </c>
      <c r="O100" s="20">
        <f t="shared" ref="O100:P100" si="121">ROUND(0.633*O88+0.367*O124,0)</f>
        <v>180</v>
      </c>
      <c r="P100" s="20">
        <f t="shared" si="121"/>
        <v>60</v>
      </c>
      <c r="Q100" s="104">
        <f t="shared" si="103"/>
        <v>1E-3</v>
      </c>
      <c r="R100" s="20">
        <f t="shared" ref="R100:S100" si="122">ROUND(0.633*R88+0.367*R124,0)</f>
        <v>3</v>
      </c>
      <c r="S100" s="20">
        <f t="shared" si="122"/>
        <v>1500</v>
      </c>
      <c r="T100" s="104">
        <f t="shared" si="105"/>
        <v>0.1</v>
      </c>
      <c r="U100" s="54" t="s">
        <v>282</v>
      </c>
      <c r="V100" s="21"/>
      <c r="W100" s="58">
        <f t="shared" si="91"/>
        <v>35124</v>
      </c>
      <c r="X100" s="102">
        <f t="shared" si="92"/>
        <v>63.655500000000004</v>
      </c>
      <c r="Y100" s="102">
        <f t="shared" si="93"/>
        <v>20.341000000000001</v>
      </c>
      <c r="Z100" s="21">
        <f t="shared" si="94"/>
        <v>8195</v>
      </c>
      <c r="AA100" s="44">
        <f t="shared" si="95"/>
        <v>0</v>
      </c>
      <c r="AB100" s="21">
        <f t="shared" si="96"/>
        <v>7</v>
      </c>
      <c r="AC100" s="121">
        <f>ROUND(I100+mwreg!$G$16/100,3)</f>
        <v>-0.58699999999999997</v>
      </c>
      <c r="AD100" s="101">
        <f>ROUND(J100+mwreg!$G$16/100,3)</f>
        <v>0.502</v>
      </c>
      <c r="AE100" s="101">
        <f>ROUND(K100+mwreg!$G$16/100,3)</f>
        <v>4.2000000000000003E-2</v>
      </c>
      <c r="AF100" s="102">
        <f t="shared" si="97"/>
        <v>0.1386</v>
      </c>
      <c r="AG100" s="102">
        <f t="shared" si="98"/>
        <v>2.3699999999999999E-2</v>
      </c>
      <c r="AH100" s="102">
        <f t="shared" si="112"/>
        <v>2.5399999999999999E-2</v>
      </c>
      <c r="AI100" s="21">
        <f t="shared" si="113"/>
        <v>180</v>
      </c>
      <c r="AJ100" s="21">
        <f t="shared" si="114"/>
        <v>60</v>
      </c>
      <c r="AK100" s="101">
        <f t="shared" si="115"/>
        <v>1E-3</v>
      </c>
      <c r="AL100" s="21">
        <f t="shared" si="116"/>
        <v>3</v>
      </c>
      <c r="AM100" s="21">
        <f t="shared" si="117"/>
        <v>1500</v>
      </c>
      <c r="AN100" s="101">
        <f t="shared" si="118"/>
        <v>0.1</v>
      </c>
      <c r="AO100" s="185" t="str">
        <f t="shared" si="58"/>
        <v>NaN</v>
      </c>
    </row>
    <row r="101" spans="1:41" x14ac:dyDescent="0.2">
      <c r="A101" s="3" t="s">
        <v>296</v>
      </c>
      <c r="B101" s="3" t="s">
        <v>296</v>
      </c>
      <c r="C101" s="52">
        <v>35124</v>
      </c>
      <c r="D101" s="105">
        <v>63.655500000000004</v>
      </c>
      <c r="E101" s="105">
        <v>20.341000000000001</v>
      </c>
      <c r="F101" s="20">
        <v>8195</v>
      </c>
      <c r="G101" s="18">
        <v>0</v>
      </c>
      <c r="H101" s="53">
        <v>8</v>
      </c>
      <c r="I101" s="167">
        <f t="shared" si="100"/>
        <v>-0.58499999999999996</v>
      </c>
      <c r="J101" s="104">
        <f t="shared" si="100"/>
        <v>0.67500000000000004</v>
      </c>
      <c r="K101" s="104">
        <f t="shared" si="100"/>
        <v>3.3000000000000002E-2</v>
      </c>
      <c r="L101" s="105">
        <f t="shared" si="101"/>
        <v>0.13389999999999999</v>
      </c>
      <c r="M101" s="105">
        <f t="shared" si="101"/>
        <v>4.5499999999999999E-2</v>
      </c>
      <c r="N101" s="105">
        <f t="shared" si="101"/>
        <v>4.7199999999999999E-2</v>
      </c>
      <c r="O101" s="20">
        <f t="shared" ref="O101:P101" si="123">ROUND(0.633*O89+0.367*O125,0)</f>
        <v>180</v>
      </c>
      <c r="P101" s="20">
        <f t="shared" si="123"/>
        <v>60</v>
      </c>
      <c r="Q101" s="104">
        <f t="shared" si="103"/>
        <v>1E-3</v>
      </c>
      <c r="R101" s="20">
        <f t="shared" ref="R101:S101" si="124">ROUND(0.633*R89+0.367*R125,0)</f>
        <v>3</v>
      </c>
      <c r="S101" s="20">
        <f t="shared" si="124"/>
        <v>1500</v>
      </c>
      <c r="T101" s="104">
        <f t="shared" si="105"/>
        <v>0.1</v>
      </c>
      <c r="U101" s="54" t="s">
        <v>282</v>
      </c>
      <c r="V101" s="21"/>
      <c r="W101" s="58">
        <f t="shared" si="91"/>
        <v>35124</v>
      </c>
      <c r="X101" s="102">
        <f t="shared" si="92"/>
        <v>63.655500000000004</v>
      </c>
      <c r="Y101" s="102">
        <f t="shared" si="93"/>
        <v>20.341000000000001</v>
      </c>
      <c r="Z101" s="21">
        <f t="shared" si="94"/>
        <v>8195</v>
      </c>
      <c r="AA101" s="44">
        <f t="shared" si="95"/>
        <v>0</v>
      </c>
      <c r="AB101" s="21">
        <f t="shared" si="96"/>
        <v>8</v>
      </c>
      <c r="AC101" s="121">
        <f>ROUND(I101+mwreg!$G$16/100,3)</f>
        <v>-0.57099999999999995</v>
      </c>
      <c r="AD101" s="101">
        <f>ROUND(J101+mwreg!$G$16/100,3)</f>
        <v>0.68899999999999995</v>
      </c>
      <c r="AE101" s="101">
        <f>ROUND(K101+mwreg!$G$16/100,3)</f>
        <v>4.7E-2</v>
      </c>
      <c r="AF101" s="102">
        <f t="shared" si="97"/>
        <v>0.13389999999999999</v>
      </c>
      <c r="AG101" s="102">
        <f t="shared" si="98"/>
        <v>4.5499999999999999E-2</v>
      </c>
      <c r="AH101" s="102">
        <f t="shared" si="112"/>
        <v>4.7199999999999999E-2</v>
      </c>
      <c r="AI101" s="21">
        <f t="shared" si="113"/>
        <v>180</v>
      </c>
      <c r="AJ101" s="21">
        <f t="shared" si="114"/>
        <v>60</v>
      </c>
      <c r="AK101" s="101">
        <f t="shared" si="115"/>
        <v>1E-3</v>
      </c>
      <c r="AL101" s="21">
        <f t="shared" si="116"/>
        <v>3</v>
      </c>
      <c r="AM101" s="21">
        <f t="shared" si="117"/>
        <v>1500</v>
      </c>
      <c r="AN101" s="101">
        <f t="shared" si="118"/>
        <v>0.1</v>
      </c>
      <c r="AO101" s="185" t="str">
        <f t="shared" si="58"/>
        <v>NaN</v>
      </c>
    </row>
    <row r="102" spans="1:41" x14ac:dyDescent="0.2">
      <c r="A102" s="3" t="s">
        <v>296</v>
      </c>
      <c r="B102" s="3" t="s">
        <v>296</v>
      </c>
      <c r="C102" s="52">
        <v>35124</v>
      </c>
      <c r="D102" s="105">
        <v>63.655500000000004</v>
      </c>
      <c r="E102" s="105">
        <v>20.341000000000001</v>
      </c>
      <c r="F102" s="20">
        <v>8195</v>
      </c>
      <c r="G102" s="18">
        <v>0</v>
      </c>
      <c r="H102" s="53">
        <v>9</v>
      </c>
      <c r="I102" s="167">
        <f t="shared" si="100"/>
        <v>-0.69</v>
      </c>
      <c r="J102" s="104">
        <f t="shared" si="100"/>
        <v>0.68500000000000005</v>
      </c>
      <c r="K102" s="104">
        <f t="shared" si="100"/>
        <v>9.5000000000000001E-2</v>
      </c>
      <c r="L102" s="105">
        <f t="shared" si="101"/>
        <v>0.1714</v>
      </c>
      <c r="M102" s="105">
        <f t="shared" si="101"/>
        <v>2.3E-2</v>
      </c>
      <c r="N102" s="105">
        <f t="shared" si="101"/>
        <v>2.46E-2</v>
      </c>
      <c r="O102" s="20">
        <f t="shared" ref="O102:P102" si="125">ROUND(0.633*O90+0.367*O126,0)</f>
        <v>180</v>
      </c>
      <c r="P102" s="20">
        <f t="shared" si="125"/>
        <v>60</v>
      </c>
      <c r="Q102" s="104">
        <f t="shared" si="103"/>
        <v>1E-3</v>
      </c>
      <c r="R102" s="20">
        <f t="shared" ref="R102:S102" si="126">ROUND(0.633*R90+0.367*R126,0)</f>
        <v>3</v>
      </c>
      <c r="S102" s="20">
        <f t="shared" si="126"/>
        <v>1500</v>
      </c>
      <c r="T102" s="104">
        <f t="shared" si="105"/>
        <v>0.1</v>
      </c>
      <c r="U102" s="54" t="s">
        <v>282</v>
      </c>
      <c r="V102" s="21"/>
      <c r="W102" s="58">
        <f t="shared" si="91"/>
        <v>35124</v>
      </c>
      <c r="X102" s="102">
        <f t="shared" si="92"/>
        <v>63.655500000000004</v>
      </c>
      <c r="Y102" s="102">
        <f t="shared" si="93"/>
        <v>20.341000000000001</v>
      </c>
      <c r="Z102" s="21">
        <f t="shared" si="94"/>
        <v>8195</v>
      </c>
      <c r="AA102" s="44">
        <f t="shared" si="95"/>
        <v>0</v>
      </c>
      <c r="AB102" s="21">
        <f t="shared" si="96"/>
        <v>9</v>
      </c>
      <c r="AC102" s="121">
        <f>ROUND(I102+mwreg!$G$16/100,3)</f>
        <v>-0.67600000000000005</v>
      </c>
      <c r="AD102" s="101">
        <f>ROUND(J102+mwreg!$G$16/100,3)</f>
        <v>0.69899999999999995</v>
      </c>
      <c r="AE102" s="101">
        <f>ROUND(K102+mwreg!$G$16/100,3)</f>
        <v>0.109</v>
      </c>
      <c r="AF102" s="102">
        <f t="shared" si="97"/>
        <v>0.1714</v>
      </c>
      <c r="AG102" s="102">
        <f t="shared" si="98"/>
        <v>2.3E-2</v>
      </c>
      <c r="AH102" s="102">
        <f t="shared" si="112"/>
        <v>2.46E-2</v>
      </c>
      <c r="AI102" s="21">
        <f t="shared" si="113"/>
        <v>180</v>
      </c>
      <c r="AJ102" s="21">
        <f t="shared" si="114"/>
        <v>60</v>
      </c>
      <c r="AK102" s="101">
        <f t="shared" si="115"/>
        <v>1E-3</v>
      </c>
      <c r="AL102" s="21">
        <f t="shared" si="116"/>
        <v>3</v>
      </c>
      <c r="AM102" s="21">
        <f t="shared" si="117"/>
        <v>1500</v>
      </c>
      <c r="AN102" s="101">
        <f t="shared" si="118"/>
        <v>0.1</v>
      </c>
      <c r="AO102" s="185" t="str">
        <f t="shared" si="58"/>
        <v>NaN</v>
      </c>
    </row>
    <row r="103" spans="1:41" x14ac:dyDescent="0.2">
      <c r="A103" s="3" t="s">
        <v>296</v>
      </c>
      <c r="B103" s="3" t="s">
        <v>296</v>
      </c>
      <c r="C103" s="52">
        <v>35124</v>
      </c>
      <c r="D103" s="105">
        <v>63.655500000000004</v>
      </c>
      <c r="E103" s="105">
        <v>20.341000000000001</v>
      </c>
      <c r="F103" s="20">
        <v>8195</v>
      </c>
      <c r="G103" s="18">
        <v>0</v>
      </c>
      <c r="H103" s="53">
        <v>10</v>
      </c>
      <c r="I103" s="167">
        <f t="shared" si="100"/>
        <v>-1.0129999999999999</v>
      </c>
      <c r="J103" s="104">
        <f t="shared" si="100"/>
        <v>0.85799999999999998</v>
      </c>
      <c r="K103" s="104">
        <f t="shared" si="100"/>
        <v>8.2000000000000003E-2</v>
      </c>
      <c r="L103" s="105">
        <f t="shared" si="101"/>
        <v>0.21429999999999999</v>
      </c>
      <c r="M103" s="105">
        <f t="shared" si="101"/>
        <v>1.52E-2</v>
      </c>
      <c r="N103" s="105">
        <f t="shared" si="101"/>
        <v>1.6899999999999998E-2</v>
      </c>
      <c r="O103" s="20">
        <f t="shared" ref="O103:P103" si="127">ROUND(0.633*O91+0.367*O127,0)</f>
        <v>180</v>
      </c>
      <c r="P103" s="20">
        <f t="shared" si="127"/>
        <v>60</v>
      </c>
      <c r="Q103" s="104">
        <f t="shared" si="103"/>
        <v>1E-3</v>
      </c>
      <c r="R103" s="20">
        <f t="shared" ref="R103:S103" si="128">ROUND(0.633*R91+0.367*R127,0)</f>
        <v>3</v>
      </c>
      <c r="S103" s="20">
        <f t="shared" si="128"/>
        <v>1500</v>
      </c>
      <c r="T103" s="104">
        <f t="shared" si="105"/>
        <v>0.1</v>
      </c>
      <c r="U103" s="54" t="s">
        <v>282</v>
      </c>
      <c r="V103" s="21"/>
      <c r="W103" s="58">
        <f t="shared" si="91"/>
        <v>35124</v>
      </c>
      <c r="X103" s="102">
        <f t="shared" si="92"/>
        <v>63.655500000000004</v>
      </c>
      <c r="Y103" s="102">
        <f t="shared" si="93"/>
        <v>20.341000000000001</v>
      </c>
      <c r="Z103" s="21">
        <f t="shared" si="94"/>
        <v>8195</v>
      </c>
      <c r="AA103" s="44">
        <f t="shared" si="95"/>
        <v>0</v>
      </c>
      <c r="AB103" s="21">
        <f t="shared" si="96"/>
        <v>10</v>
      </c>
      <c r="AC103" s="121">
        <f>ROUND(I103+mwreg!$G$16/100,3)</f>
        <v>-0.999</v>
      </c>
      <c r="AD103" s="101">
        <f>ROUND(J103+mwreg!$G$16/100,3)</f>
        <v>0.872</v>
      </c>
      <c r="AE103" s="101">
        <f>ROUND(K103+mwreg!$G$16/100,3)</f>
        <v>9.6000000000000002E-2</v>
      </c>
      <c r="AF103" s="102">
        <f t="shared" si="97"/>
        <v>0.21429999999999999</v>
      </c>
      <c r="AG103" s="102">
        <f t="shared" si="98"/>
        <v>1.52E-2</v>
      </c>
      <c r="AH103" s="102">
        <f t="shared" si="112"/>
        <v>1.6899999999999998E-2</v>
      </c>
      <c r="AI103" s="21">
        <f t="shared" si="113"/>
        <v>180</v>
      </c>
      <c r="AJ103" s="21">
        <f t="shared" si="114"/>
        <v>60</v>
      </c>
      <c r="AK103" s="101">
        <f t="shared" si="115"/>
        <v>1E-3</v>
      </c>
      <c r="AL103" s="21">
        <f t="shared" si="116"/>
        <v>3</v>
      </c>
      <c r="AM103" s="21">
        <f t="shared" si="117"/>
        <v>1500</v>
      </c>
      <c r="AN103" s="101">
        <f t="shared" si="118"/>
        <v>0.1</v>
      </c>
      <c r="AO103" s="185" t="str">
        <f t="shared" si="58"/>
        <v>NaN</v>
      </c>
    </row>
    <row r="104" spans="1:41" x14ac:dyDescent="0.2">
      <c r="A104" s="3" t="s">
        <v>296</v>
      </c>
      <c r="B104" s="3" t="s">
        <v>296</v>
      </c>
      <c r="C104" s="52">
        <v>35124</v>
      </c>
      <c r="D104" s="105">
        <v>63.655500000000004</v>
      </c>
      <c r="E104" s="105">
        <v>20.341000000000001</v>
      </c>
      <c r="F104" s="20">
        <v>8195</v>
      </c>
      <c r="G104" s="18">
        <v>0</v>
      </c>
      <c r="H104" s="53">
        <v>11</v>
      </c>
      <c r="I104" s="167">
        <f t="shared" si="100"/>
        <v>-0.89200000000000002</v>
      </c>
      <c r="J104" s="104">
        <f t="shared" si="100"/>
        <v>1.0109999999999999</v>
      </c>
      <c r="K104" s="104">
        <f t="shared" si="100"/>
        <v>7.4999999999999997E-2</v>
      </c>
      <c r="L104" s="105">
        <f t="shared" si="101"/>
        <v>0.2515</v>
      </c>
      <c r="M104" s="105">
        <f t="shared" si="101"/>
        <v>5.6000000000000001E-2</v>
      </c>
      <c r="N104" s="105">
        <f t="shared" si="101"/>
        <v>5.8200000000000002E-2</v>
      </c>
      <c r="O104" s="20">
        <f t="shared" ref="O104:P104" si="129">ROUND(0.633*O92+0.367*O128,0)</f>
        <v>180</v>
      </c>
      <c r="P104" s="20">
        <f t="shared" si="129"/>
        <v>60</v>
      </c>
      <c r="Q104" s="104">
        <f t="shared" si="103"/>
        <v>1E-3</v>
      </c>
      <c r="R104" s="20">
        <f t="shared" ref="R104:S104" si="130">ROUND(0.633*R92+0.367*R128,0)</f>
        <v>3</v>
      </c>
      <c r="S104" s="20">
        <f t="shared" si="130"/>
        <v>1500</v>
      </c>
      <c r="T104" s="104">
        <f t="shared" si="105"/>
        <v>0.1</v>
      </c>
      <c r="U104" s="54" t="s">
        <v>282</v>
      </c>
      <c r="V104" s="21"/>
      <c r="W104" s="58">
        <f t="shared" si="91"/>
        <v>35124</v>
      </c>
      <c r="X104" s="102">
        <f t="shared" si="92"/>
        <v>63.655500000000004</v>
      </c>
      <c r="Y104" s="102">
        <f t="shared" si="93"/>
        <v>20.341000000000001</v>
      </c>
      <c r="Z104" s="21">
        <f t="shared" si="94"/>
        <v>8195</v>
      </c>
      <c r="AA104" s="44">
        <f t="shared" si="95"/>
        <v>0</v>
      </c>
      <c r="AB104" s="21">
        <f t="shared" si="96"/>
        <v>11</v>
      </c>
      <c r="AC104" s="121">
        <f>ROUND(I104+mwreg!$G$16/100,3)</f>
        <v>-0.878</v>
      </c>
      <c r="AD104" s="101">
        <f>ROUND(J104+mwreg!$G$16/100,3)</f>
        <v>1.0249999999999999</v>
      </c>
      <c r="AE104" s="101">
        <f>ROUND(K104+mwreg!$G$16/100,3)</f>
        <v>8.8999999999999996E-2</v>
      </c>
      <c r="AF104" s="102">
        <f t="shared" si="97"/>
        <v>0.2515</v>
      </c>
      <c r="AG104" s="102">
        <f t="shared" si="98"/>
        <v>5.6000000000000001E-2</v>
      </c>
      <c r="AH104" s="102">
        <f t="shared" si="112"/>
        <v>5.8200000000000002E-2</v>
      </c>
      <c r="AI104" s="21">
        <f t="shared" si="113"/>
        <v>180</v>
      </c>
      <c r="AJ104" s="21">
        <f t="shared" si="114"/>
        <v>60</v>
      </c>
      <c r="AK104" s="101">
        <f t="shared" si="115"/>
        <v>1E-3</v>
      </c>
      <c r="AL104" s="21">
        <f t="shared" si="116"/>
        <v>3</v>
      </c>
      <c r="AM104" s="21">
        <f t="shared" si="117"/>
        <v>1500</v>
      </c>
      <c r="AN104" s="101">
        <f t="shared" si="118"/>
        <v>0.1</v>
      </c>
      <c r="AO104" s="185" t="str">
        <f t="shared" si="58"/>
        <v>NaN</v>
      </c>
    </row>
    <row r="105" spans="1:41" x14ac:dyDescent="0.2">
      <c r="A105" s="3" t="s">
        <v>296</v>
      </c>
      <c r="B105" s="3" t="s">
        <v>296</v>
      </c>
      <c r="C105" s="52">
        <v>35124</v>
      </c>
      <c r="D105" s="105">
        <v>63.655500000000004</v>
      </c>
      <c r="E105" s="105">
        <v>20.341000000000001</v>
      </c>
      <c r="F105" s="20">
        <v>8195</v>
      </c>
      <c r="G105" s="18">
        <v>0</v>
      </c>
      <c r="H105" s="53">
        <v>12</v>
      </c>
      <c r="I105" s="167">
        <f t="shared" si="100"/>
        <v>-0.84299999999999997</v>
      </c>
      <c r="J105" s="104">
        <f t="shared" si="100"/>
        <v>1.1639999999999999</v>
      </c>
      <c r="K105" s="104">
        <f t="shared" si="100"/>
        <v>0.13</v>
      </c>
      <c r="L105" s="105">
        <f t="shared" si="101"/>
        <v>0.2621</v>
      </c>
      <c r="M105" s="105">
        <f t="shared" si="101"/>
        <v>2.6599999999999999E-2</v>
      </c>
      <c r="N105" s="105">
        <f t="shared" si="101"/>
        <v>2.87E-2</v>
      </c>
      <c r="O105" s="20">
        <f t="shared" ref="O105:P105" si="131">ROUND(0.633*O93+0.367*O129,0)</f>
        <v>180</v>
      </c>
      <c r="P105" s="20">
        <f t="shared" si="131"/>
        <v>60</v>
      </c>
      <c r="Q105" s="104">
        <f t="shared" si="103"/>
        <v>1E-3</v>
      </c>
      <c r="R105" s="20">
        <f t="shared" ref="R105:S105" si="132">ROUND(0.633*R93+0.367*R129,0)</f>
        <v>3</v>
      </c>
      <c r="S105" s="20">
        <f t="shared" si="132"/>
        <v>1500</v>
      </c>
      <c r="T105" s="104">
        <f t="shared" si="105"/>
        <v>0.1</v>
      </c>
      <c r="U105" s="54" t="s">
        <v>282</v>
      </c>
      <c r="V105" s="21"/>
      <c r="W105" s="58">
        <f t="shared" si="91"/>
        <v>35124</v>
      </c>
      <c r="X105" s="102">
        <f t="shared" si="92"/>
        <v>63.655500000000004</v>
      </c>
      <c r="Y105" s="102">
        <f t="shared" si="93"/>
        <v>20.341000000000001</v>
      </c>
      <c r="Z105" s="21">
        <f t="shared" si="94"/>
        <v>8195</v>
      </c>
      <c r="AA105" s="44">
        <f t="shared" si="95"/>
        <v>0</v>
      </c>
      <c r="AB105" s="21">
        <f t="shared" si="96"/>
        <v>12</v>
      </c>
      <c r="AC105" s="121">
        <f>ROUND(I105+mwreg!$G$16/100,3)</f>
        <v>-0.82899999999999996</v>
      </c>
      <c r="AD105" s="101">
        <f>ROUND(J105+mwreg!$G$16/100,3)</f>
        <v>1.1779999999999999</v>
      </c>
      <c r="AE105" s="101">
        <f>ROUND(K105+mwreg!$G$16/100,3)</f>
        <v>0.14399999999999999</v>
      </c>
      <c r="AF105" s="102">
        <f t="shared" si="97"/>
        <v>0.2621</v>
      </c>
      <c r="AG105" s="102">
        <f t="shared" si="98"/>
        <v>2.6599999999999999E-2</v>
      </c>
      <c r="AH105" s="102">
        <f t="shared" si="112"/>
        <v>2.87E-2</v>
      </c>
      <c r="AI105" s="21">
        <f t="shared" si="113"/>
        <v>180</v>
      </c>
      <c r="AJ105" s="21">
        <f t="shared" si="114"/>
        <v>60</v>
      </c>
      <c r="AK105" s="101">
        <f t="shared" si="115"/>
        <v>1E-3</v>
      </c>
      <c r="AL105" s="21">
        <f t="shared" si="116"/>
        <v>3</v>
      </c>
      <c r="AM105" s="21">
        <f t="shared" si="117"/>
        <v>1500</v>
      </c>
      <c r="AN105" s="101">
        <f t="shared" si="118"/>
        <v>0.1</v>
      </c>
      <c r="AO105" s="185" t="str">
        <f t="shared" si="58"/>
        <v>NaN</v>
      </c>
    </row>
    <row r="106" spans="1:41" x14ac:dyDescent="0.2">
      <c r="A106" s="3" t="str">
        <f>stat_uppg!A17</f>
        <v>2321/33054</v>
      </c>
      <c r="B106" s="3" t="str">
        <f>stat_uppg!B17</f>
        <v>Skagsudde (SMHI) nedlagd</v>
      </c>
      <c r="C106" s="52">
        <v>2321</v>
      </c>
      <c r="D106" s="105">
        <v>63.190600000000003</v>
      </c>
      <c r="E106" s="105">
        <v>19.012499999999999</v>
      </c>
      <c r="F106" s="20">
        <v>8195</v>
      </c>
      <c r="G106" s="18">
        <v>0</v>
      </c>
      <c r="H106" s="53">
        <v>1</v>
      </c>
      <c r="I106" s="167">
        <f>ROUND(I118,3)</f>
        <v>-0.84399999999999997</v>
      </c>
      <c r="J106" s="104">
        <f>ROUND(J118,3)</f>
        <v>1.1080000000000001</v>
      </c>
      <c r="K106" s="104">
        <f>ROUND(K118,3)</f>
        <v>0.218</v>
      </c>
      <c r="L106" s="105">
        <f>ROUND(L118,4)</f>
        <v>0.26250000000000001</v>
      </c>
      <c r="M106" s="105">
        <f>ROUND(M118,4)</f>
        <v>6.3600000000000004E-2</v>
      </c>
      <c r="N106" s="105">
        <f>ROUND(N118,4)</f>
        <v>6.5000000000000002E-2</v>
      </c>
      <c r="O106" s="20">
        <f>ROUND(O118,0)</f>
        <v>180</v>
      </c>
      <c r="P106" s="20">
        <f>ROUND(P118,0)</f>
        <v>60</v>
      </c>
      <c r="Q106" s="104">
        <f>ROUND(Q118,3)</f>
        <v>1E-3</v>
      </c>
      <c r="R106" s="20">
        <f>ROUND(R118,0)</f>
        <v>3</v>
      </c>
      <c r="S106" s="20">
        <f>ROUND(S118,0)</f>
        <v>1500</v>
      </c>
      <c r="T106" s="104">
        <f>ROUND(T118,3)</f>
        <v>0.1</v>
      </c>
      <c r="U106" s="54" t="s">
        <v>282</v>
      </c>
      <c r="V106" s="44"/>
      <c r="W106" s="58">
        <f t="shared" ref="W106:W137" si="133">C106</f>
        <v>2321</v>
      </c>
      <c r="X106" s="102">
        <f t="shared" ref="X106:X137" si="134">D106</f>
        <v>63.190600000000003</v>
      </c>
      <c r="Y106" s="102">
        <f t="shared" ref="Y106:Y137" si="135">E106</f>
        <v>19.012499999999999</v>
      </c>
      <c r="Z106" s="21">
        <f t="shared" ref="Z106:Z137" si="136">F106</f>
        <v>8195</v>
      </c>
      <c r="AA106" s="44">
        <f t="shared" ref="AA106:AA137" si="137">G106</f>
        <v>0</v>
      </c>
      <c r="AB106" s="21">
        <f t="shared" ref="AB106:AB137" si="138">H106</f>
        <v>1</v>
      </c>
      <c r="AC106" s="121">
        <f>ROUND(I106+mwreg!$G$17/100,3)</f>
        <v>-0.84799999999999998</v>
      </c>
      <c r="AD106" s="101">
        <f>ROUND(J106+mwreg!$G$17/100,3)</f>
        <v>1.1040000000000001</v>
      </c>
      <c r="AE106" s="101">
        <f>ROUND(K106+mwreg!$G$17/100,3)</f>
        <v>0.214</v>
      </c>
      <c r="AF106" s="102">
        <f t="shared" si="97"/>
        <v>0.26250000000000001</v>
      </c>
      <c r="AG106" s="102">
        <f t="shared" si="98"/>
        <v>6.3600000000000004E-2</v>
      </c>
      <c r="AH106" s="102">
        <f t="shared" si="112"/>
        <v>6.5000000000000002E-2</v>
      </c>
      <c r="AI106" s="21">
        <f t="shared" si="113"/>
        <v>180</v>
      </c>
      <c r="AJ106" s="21">
        <f t="shared" si="114"/>
        <v>60</v>
      </c>
      <c r="AK106" s="101">
        <f t="shared" si="115"/>
        <v>1E-3</v>
      </c>
      <c r="AL106" s="21">
        <f t="shared" si="116"/>
        <v>3</v>
      </c>
      <c r="AM106" s="21">
        <f t="shared" si="117"/>
        <v>1500</v>
      </c>
      <c r="AN106" s="101">
        <f t="shared" si="118"/>
        <v>0.1</v>
      </c>
      <c r="AO106" s="185" t="str">
        <f t="shared" si="58"/>
        <v>NaN</v>
      </c>
    </row>
    <row r="107" spans="1:41" x14ac:dyDescent="0.2">
      <c r="A107" s="3" t="s">
        <v>296</v>
      </c>
      <c r="B107" s="3" t="s">
        <v>296</v>
      </c>
      <c r="C107" s="52">
        <v>2321</v>
      </c>
      <c r="D107" s="105">
        <v>63.190600000000003</v>
      </c>
      <c r="E107" s="105">
        <v>19.012499999999999</v>
      </c>
      <c r="F107" s="20">
        <v>8195</v>
      </c>
      <c r="G107" s="18">
        <v>0</v>
      </c>
      <c r="H107" s="53">
        <v>2</v>
      </c>
      <c r="I107" s="167">
        <f t="shared" ref="I107:K107" si="139">ROUND(I119,3)</f>
        <v>-0.73</v>
      </c>
      <c r="J107" s="104">
        <f t="shared" si="139"/>
        <v>1.3080000000000001</v>
      </c>
      <c r="K107" s="104">
        <f t="shared" si="139"/>
        <v>0.216</v>
      </c>
      <c r="L107" s="105">
        <f t="shared" ref="L107:N107" si="140">ROUND(L119,4)</f>
        <v>0.32269999999999999</v>
      </c>
      <c r="M107" s="105">
        <f t="shared" si="140"/>
        <v>9.5999999999999992E-3</v>
      </c>
      <c r="N107" s="105">
        <f t="shared" si="140"/>
        <v>0.01</v>
      </c>
      <c r="O107" s="20">
        <f t="shared" ref="O107:P117" si="141">ROUND(O119,0)</f>
        <v>180</v>
      </c>
      <c r="P107" s="20">
        <f t="shared" si="141"/>
        <v>60</v>
      </c>
      <c r="Q107" s="104">
        <f t="shared" ref="Q107:Q117" si="142">ROUND(Q119,3)</f>
        <v>1E-3</v>
      </c>
      <c r="R107" s="20">
        <f t="shared" ref="R107:S117" si="143">ROUND(R119,0)</f>
        <v>3</v>
      </c>
      <c r="S107" s="20">
        <f t="shared" si="143"/>
        <v>1500</v>
      </c>
      <c r="T107" s="104">
        <f t="shared" ref="T107:T117" si="144">ROUND(T119,3)</f>
        <v>0.1</v>
      </c>
      <c r="U107" s="54" t="s">
        <v>282</v>
      </c>
      <c r="V107" s="44"/>
      <c r="W107" s="58">
        <f t="shared" si="133"/>
        <v>2321</v>
      </c>
      <c r="X107" s="102">
        <f t="shared" si="134"/>
        <v>63.190600000000003</v>
      </c>
      <c r="Y107" s="102">
        <f t="shared" si="135"/>
        <v>19.012499999999999</v>
      </c>
      <c r="Z107" s="21">
        <f t="shared" si="136"/>
        <v>8195</v>
      </c>
      <c r="AA107" s="44">
        <f t="shared" si="137"/>
        <v>0</v>
      </c>
      <c r="AB107" s="21">
        <f t="shared" si="138"/>
        <v>2</v>
      </c>
      <c r="AC107" s="121">
        <f>ROUND(I107+mwreg!$G$17/100,3)</f>
        <v>-0.73399999999999999</v>
      </c>
      <c r="AD107" s="101">
        <f>ROUND(J107+mwreg!$G$17/100,3)</f>
        <v>1.304</v>
      </c>
      <c r="AE107" s="101">
        <f>ROUND(K107+mwreg!$G$17/100,3)</f>
        <v>0.21199999999999999</v>
      </c>
      <c r="AF107" s="102">
        <f t="shared" si="97"/>
        <v>0.32269999999999999</v>
      </c>
      <c r="AG107" s="102">
        <f t="shared" si="98"/>
        <v>9.5999999999999992E-3</v>
      </c>
      <c r="AH107" s="102">
        <f t="shared" si="112"/>
        <v>0.01</v>
      </c>
      <c r="AI107" s="21">
        <f t="shared" si="113"/>
        <v>180</v>
      </c>
      <c r="AJ107" s="21">
        <f t="shared" si="114"/>
        <v>60</v>
      </c>
      <c r="AK107" s="101">
        <f t="shared" si="115"/>
        <v>1E-3</v>
      </c>
      <c r="AL107" s="21">
        <f t="shared" si="116"/>
        <v>3</v>
      </c>
      <c r="AM107" s="21">
        <f t="shared" si="117"/>
        <v>1500</v>
      </c>
      <c r="AN107" s="101">
        <f t="shared" si="118"/>
        <v>0.1</v>
      </c>
      <c r="AO107" s="185" t="str">
        <f t="shared" si="58"/>
        <v>NaN</v>
      </c>
    </row>
    <row r="108" spans="1:41" x14ac:dyDescent="0.2">
      <c r="A108" s="3" t="s">
        <v>296</v>
      </c>
      <c r="B108" s="3" t="s">
        <v>296</v>
      </c>
      <c r="C108" s="52">
        <v>2321</v>
      </c>
      <c r="D108" s="105">
        <v>63.190600000000003</v>
      </c>
      <c r="E108" s="105">
        <v>19.012499999999999</v>
      </c>
      <c r="F108" s="20">
        <v>8195</v>
      </c>
      <c r="G108" s="18">
        <v>0</v>
      </c>
      <c r="H108" s="53">
        <v>3</v>
      </c>
      <c r="I108" s="167">
        <f t="shared" ref="I108:K108" si="145">ROUND(I120,3)</f>
        <v>-0.67</v>
      </c>
      <c r="J108" s="104">
        <f t="shared" si="145"/>
        <v>0.85199999999999998</v>
      </c>
      <c r="K108" s="104">
        <f t="shared" si="145"/>
        <v>0.13300000000000001</v>
      </c>
      <c r="L108" s="105">
        <f t="shared" ref="L108:N108" si="146">ROUND(L120,4)</f>
        <v>0.23499999999999999</v>
      </c>
      <c r="M108" s="105">
        <f t="shared" si="146"/>
        <v>1.4500000000000001E-2</v>
      </c>
      <c r="N108" s="105">
        <f t="shared" si="146"/>
        <v>1.4999999999999999E-2</v>
      </c>
      <c r="O108" s="20">
        <f t="shared" si="141"/>
        <v>180</v>
      </c>
      <c r="P108" s="20">
        <f t="shared" si="141"/>
        <v>60</v>
      </c>
      <c r="Q108" s="104">
        <f t="shared" si="142"/>
        <v>1E-3</v>
      </c>
      <c r="R108" s="20">
        <f t="shared" si="143"/>
        <v>3</v>
      </c>
      <c r="S108" s="20">
        <f t="shared" si="143"/>
        <v>1500</v>
      </c>
      <c r="T108" s="104">
        <f t="shared" si="144"/>
        <v>0.1</v>
      </c>
      <c r="U108" s="54" t="s">
        <v>282</v>
      </c>
      <c r="V108" s="44"/>
      <c r="W108" s="58">
        <f t="shared" si="133"/>
        <v>2321</v>
      </c>
      <c r="X108" s="102">
        <f t="shared" si="134"/>
        <v>63.190600000000003</v>
      </c>
      <c r="Y108" s="102">
        <f t="shared" si="135"/>
        <v>19.012499999999999</v>
      </c>
      <c r="Z108" s="21">
        <f t="shared" si="136"/>
        <v>8195</v>
      </c>
      <c r="AA108" s="44">
        <f t="shared" si="137"/>
        <v>0</v>
      </c>
      <c r="AB108" s="21">
        <f t="shared" si="138"/>
        <v>3</v>
      </c>
      <c r="AC108" s="121">
        <f>ROUND(I108+mwreg!$G$17/100,3)</f>
        <v>-0.67400000000000004</v>
      </c>
      <c r="AD108" s="101">
        <f>ROUND(J108+mwreg!$G$17/100,3)</f>
        <v>0.84799999999999998</v>
      </c>
      <c r="AE108" s="101">
        <f>ROUND(K108+mwreg!$G$17/100,3)</f>
        <v>0.129</v>
      </c>
      <c r="AF108" s="102">
        <f t="shared" si="97"/>
        <v>0.23499999999999999</v>
      </c>
      <c r="AG108" s="102">
        <f t="shared" si="98"/>
        <v>1.4500000000000001E-2</v>
      </c>
      <c r="AH108" s="102">
        <f t="shared" si="112"/>
        <v>1.4999999999999999E-2</v>
      </c>
      <c r="AI108" s="21">
        <f t="shared" si="113"/>
        <v>180</v>
      </c>
      <c r="AJ108" s="21">
        <f t="shared" si="114"/>
        <v>60</v>
      </c>
      <c r="AK108" s="101">
        <f t="shared" si="115"/>
        <v>1E-3</v>
      </c>
      <c r="AL108" s="21">
        <f t="shared" si="116"/>
        <v>3</v>
      </c>
      <c r="AM108" s="21">
        <f t="shared" si="117"/>
        <v>1500</v>
      </c>
      <c r="AN108" s="101">
        <f t="shared" si="118"/>
        <v>0.1</v>
      </c>
      <c r="AO108" s="185" t="str">
        <f t="shared" si="58"/>
        <v>NaN</v>
      </c>
    </row>
    <row r="109" spans="1:41" x14ac:dyDescent="0.2">
      <c r="A109" s="3" t="s">
        <v>296</v>
      </c>
      <c r="B109" s="3" t="s">
        <v>296</v>
      </c>
      <c r="C109" s="52">
        <v>2321</v>
      </c>
      <c r="D109" s="105">
        <v>63.190600000000003</v>
      </c>
      <c r="E109" s="105">
        <v>19.012499999999999</v>
      </c>
      <c r="F109" s="20">
        <v>8195</v>
      </c>
      <c r="G109" s="18">
        <v>0</v>
      </c>
      <c r="H109" s="53">
        <v>4</v>
      </c>
      <c r="I109" s="167">
        <f t="shared" ref="I109:K109" si="147">ROUND(I121,3)</f>
        <v>-0.54400000000000004</v>
      </c>
      <c r="J109" s="104">
        <f t="shared" si="147"/>
        <v>0.502</v>
      </c>
      <c r="K109" s="104">
        <f t="shared" si="147"/>
        <v>-8.8999999999999996E-2</v>
      </c>
      <c r="L109" s="105">
        <f t="shared" ref="L109:N109" si="148">ROUND(L121,4)</f>
        <v>0.18779999999999999</v>
      </c>
      <c r="M109" s="105">
        <f t="shared" si="148"/>
        <v>9.9000000000000008E-3</v>
      </c>
      <c r="N109" s="105">
        <f t="shared" si="148"/>
        <v>1.03E-2</v>
      </c>
      <c r="O109" s="20">
        <f t="shared" si="141"/>
        <v>180</v>
      </c>
      <c r="P109" s="20">
        <f t="shared" si="141"/>
        <v>60</v>
      </c>
      <c r="Q109" s="104">
        <f t="shared" si="142"/>
        <v>1E-3</v>
      </c>
      <c r="R109" s="20">
        <f t="shared" si="143"/>
        <v>3</v>
      </c>
      <c r="S109" s="20">
        <f t="shared" si="143"/>
        <v>1500</v>
      </c>
      <c r="T109" s="104">
        <f t="shared" si="144"/>
        <v>0.1</v>
      </c>
      <c r="U109" s="54" t="s">
        <v>282</v>
      </c>
      <c r="V109" s="44"/>
      <c r="W109" s="58">
        <f t="shared" si="133"/>
        <v>2321</v>
      </c>
      <c r="X109" s="102">
        <f t="shared" si="134"/>
        <v>63.190600000000003</v>
      </c>
      <c r="Y109" s="102">
        <f t="shared" si="135"/>
        <v>19.012499999999999</v>
      </c>
      <c r="Z109" s="21">
        <f t="shared" si="136"/>
        <v>8195</v>
      </c>
      <c r="AA109" s="44">
        <f t="shared" si="137"/>
        <v>0</v>
      </c>
      <c r="AB109" s="21">
        <f t="shared" si="138"/>
        <v>4</v>
      </c>
      <c r="AC109" s="121">
        <f>ROUND(I109+mwreg!$G$17/100,3)</f>
        <v>-0.54800000000000004</v>
      </c>
      <c r="AD109" s="101">
        <f>ROUND(J109+mwreg!$G$17/100,3)</f>
        <v>0.498</v>
      </c>
      <c r="AE109" s="101">
        <f>ROUND(K109+mwreg!$G$17/100,3)</f>
        <v>-9.2999999999999999E-2</v>
      </c>
      <c r="AF109" s="102">
        <f t="shared" si="97"/>
        <v>0.18779999999999999</v>
      </c>
      <c r="AG109" s="102">
        <f t="shared" si="98"/>
        <v>9.9000000000000008E-3</v>
      </c>
      <c r="AH109" s="102">
        <f t="shared" si="112"/>
        <v>1.03E-2</v>
      </c>
      <c r="AI109" s="21">
        <f t="shared" si="113"/>
        <v>180</v>
      </c>
      <c r="AJ109" s="21">
        <f t="shared" si="114"/>
        <v>60</v>
      </c>
      <c r="AK109" s="101">
        <f t="shared" si="115"/>
        <v>1E-3</v>
      </c>
      <c r="AL109" s="21">
        <f t="shared" si="116"/>
        <v>3</v>
      </c>
      <c r="AM109" s="21">
        <f t="shared" si="117"/>
        <v>1500</v>
      </c>
      <c r="AN109" s="101">
        <f t="shared" si="118"/>
        <v>0.1</v>
      </c>
      <c r="AO109" s="185" t="str">
        <f t="shared" si="58"/>
        <v>NaN</v>
      </c>
    </row>
    <row r="110" spans="1:41" x14ac:dyDescent="0.2">
      <c r="A110" s="3" t="s">
        <v>296</v>
      </c>
      <c r="B110" s="3" t="s">
        <v>296</v>
      </c>
      <c r="C110" s="52">
        <v>2321</v>
      </c>
      <c r="D110" s="105">
        <v>63.190600000000003</v>
      </c>
      <c r="E110" s="105">
        <v>19.012499999999999</v>
      </c>
      <c r="F110" s="20">
        <v>8195</v>
      </c>
      <c r="G110" s="18">
        <v>0</v>
      </c>
      <c r="H110" s="53">
        <v>5</v>
      </c>
      <c r="I110" s="167">
        <f t="shared" ref="I110:K110" si="149">ROUND(I122,3)</f>
        <v>-0.48799999999999999</v>
      </c>
      <c r="J110" s="104">
        <f t="shared" si="149"/>
        <v>0.38900000000000001</v>
      </c>
      <c r="K110" s="104">
        <f t="shared" si="149"/>
        <v>-6.9000000000000006E-2</v>
      </c>
      <c r="L110" s="105">
        <f t="shared" ref="L110:N110" si="150">ROUND(L122,4)</f>
        <v>0.1421</v>
      </c>
      <c r="M110" s="105">
        <f t="shared" si="150"/>
        <v>3.3500000000000002E-2</v>
      </c>
      <c r="N110" s="105">
        <f t="shared" si="150"/>
        <v>3.4000000000000002E-2</v>
      </c>
      <c r="O110" s="20">
        <f t="shared" si="141"/>
        <v>180</v>
      </c>
      <c r="P110" s="20">
        <f t="shared" si="141"/>
        <v>60</v>
      </c>
      <c r="Q110" s="104">
        <f t="shared" si="142"/>
        <v>1E-3</v>
      </c>
      <c r="R110" s="20">
        <f t="shared" si="143"/>
        <v>3</v>
      </c>
      <c r="S110" s="20">
        <f t="shared" si="143"/>
        <v>1500</v>
      </c>
      <c r="T110" s="104">
        <f t="shared" si="144"/>
        <v>0.1</v>
      </c>
      <c r="U110" s="54" t="s">
        <v>282</v>
      </c>
      <c r="V110" s="44"/>
      <c r="W110" s="58">
        <f t="shared" si="133"/>
        <v>2321</v>
      </c>
      <c r="X110" s="102">
        <f t="shared" si="134"/>
        <v>63.190600000000003</v>
      </c>
      <c r="Y110" s="102">
        <f t="shared" si="135"/>
        <v>19.012499999999999</v>
      </c>
      <c r="Z110" s="21">
        <f t="shared" si="136"/>
        <v>8195</v>
      </c>
      <c r="AA110" s="44">
        <f t="shared" si="137"/>
        <v>0</v>
      </c>
      <c r="AB110" s="21">
        <f t="shared" si="138"/>
        <v>5</v>
      </c>
      <c r="AC110" s="121">
        <f>ROUND(I110+mwreg!$G$17/100,3)</f>
        <v>-0.49199999999999999</v>
      </c>
      <c r="AD110" s="101">
        <f>ROUND(J110+mwreg!$G$17/100,3)</f>
        <v>0.38500000000000001</v>
      </c>
      <c r="AE110" s="101">
        <f>ROUND(K110+mwreg!$G$17/100,3)</f>
        <v>-7.2999999999999995E-2</v>
      </c>
      <c r="AF110" s="102">
        <f t="shared" si="97"/>
        <v>0.1421</v>
      </c>
      <c r="AG110" s="102">
        <f t="shared" si="98"/>
        <v>3.3500000000000002E-2</v>
      </c>
      <c r="AH110" s="102">
        <f t="shared" si="112"/>
        <v>3.4000000000000002E-2</v>
      </c>
      <c r="AI110" s="21">
        <f t="shared" si="113"/>
        <v>180</v>
      </c>
      <c r="AJ110" s="21">
        <f t="shared" si="114"/>
        <v>60</v>
      </c>
      <c r="AK110" s="101">
        <f t="shared" si="115"/>
        <v>1E-3</v>
      </c>
      <c r="AL110" s="21">
        <f t="shared" si="116"/>
        <v>3</v>
      </c>
      <c r="AM110" s="21">
        <f t="shared" si="117"/>
        <v>1500</v>
      </c>
      <c r="AN110" s="101">
        <f t="shared" si="118"/>
        <v>0.1</v>
      </c>
      <c r="AO110" s="185" t="str">
        <f t="shared" ref="AO110:AO161" si="151">U110</f>
        <v>NaN</v>
      </c>
    </row>
    <row r="111" spans="1:41" x14ac:dyDescent="0.2">
      <c r="A111" s="3" t="s">
        <v>296</v>
      </c>
      <c r="B111" s="3" t="s">
        <v>296</v>
      </c>
      <c r="C111" s="52">
        <v>2321</v>
      </c>
      <c r="D111" s="105">
        <v>63.190600000000003</v>
      </c>
      <c r="E111" s="105">
        <v>19.012499999999999</v>
      </c>
      <c r="F111" s="20">
        <v>8195</v>
      </c>
      <c r="G111" s="18">
        <v>0</v>
      </c>
      <c r="H111" s="53">
        <v>6</v>
      </c>
      <c r="I111" s="167">
        <f t="shared" ref="I111:K111" si="152">ROUND(I123,3)</f>
        <v>-0.50900000000000001</v>
      </c>
      <c r="J111" s="104">
        <f t="shared" si="152"/>
        <v>0.49399999999999999</v>
      </c>
      <c r="K111" s="104">
        <f t="shared" si="152"/>
        <v>-8.4000000000000005E-2</v>
      </c>
      <c r="L111" s="105">
        <f t="shared" ref="L111:N111" si="153">ROUND(L123,4)</f>
        <v>0.12709999999999999</v>
      </c>
      <c r="M111" s="105">
        <f t="shared" si="153"/>
        <v>8.0000000000000002E-3</v>
      </c>
      <c r="N111" s="105">
        <f t="shared" si="153"/>
        <v>8.3000000000000001E-3</v>
      </c>
      <c r="O111" s="20">
        <f t="shared" si="141"/>
        <v>180</v>
      </c>
      <c r="P111" s="20">
        <f t="shared" si="141"/>
        <v>60</v>
      </c>
      <c r="Q111" s="104">
        <f t="shared" si="142"/>
        <v>1E-3</v>
      </c>
      <c r="R111" s="20">
        <f t="shared" si="143"/>
        <v>3</v>
      </c>
      <c r="S111" s="20">
        <f t="shared" si="143"/>
        <v>1500</v>
      </c>
      <c r="T111" s="104">
        <f t="shared" si="144"/>
        <v>0.1</v>
      </c>
      <c r="U111" s="54" t="s">
        <v>282</v>
      </c>
      <c r="V111" s="44"/>
      <c r="W111" s="58">
        <f t="shared" si="133"/>
        <v>2321</v>
      </c>
      <c r="X111" s="102">
        <f t="shared" si="134"/>
        <v>63.190600000000003</v>
      </c>
      <c r="Y111" s="102">
        <f t="shared" si="135"/>
        <v>19.012499999999999</v>
      </c>
      <c r="Z111" s="21">
        <f t="shared" si="136"/>
        <v>8195</v>
      </c>
      <c r="AA111" s="44">
        <f t="shared" si="137"/>
        <v>0</v>
      </c>
      <c r="AB111" s="21">
        <f t="shared" si="138"/>
        <v>6</v>
      </c>
      <c r="AC111" s="121">
        <f>ROUND(I111+mwreg!$G$17/100,3)</f>
        <v>-0.51300000000000001</v>
      </c>
      <c r="AD111" s="101">
        <f>ROUND(J111+mwreg!$G$17/100,3)</f>
        <v>0.49</v>
      </c>
      <c r="AE111" s="101">
        <f>ROUND(K111+mwreg!$G$17/100,3)</f>
        <v>-8.7999999999999995E-2</v>
      </c>
      <c r="AF111" s="102">
        <f t="shared" si="97"/>
        <v>0.12709999999999999</v>
      </c>
      <c r="AG111" s="102">
        <f t="shared" si="98"/>
        <v>8.0000000000000002E-3</v>
      </c>
      <c r="AH111" s="102">
        <f t="shared" si="112"/>
        <v>8.3000000000000001E-3</v>
      </c>
      <c r="AI111" s="21">
        <f t="shared" si="113"/>
        <v>180</v>
      </c>
      <c r="AJ111" s="21">
        <f t="shared" si="114"/>
        <v>60</v>
      </c>
      <c r="AK111" s="101">
        <f t="shared" si="115"/>
        <v>1E-3</v>
      </c>
      <c r="AL111" s="21">
        <f t="shared" si="116"/>
        <v>3</v>
      </c>
      <c r="AM111" s="21">
        <f t="shared" si="117"/>
        <v>1500</v>
      </c>
      <c r="AN111" s="101">
        <f t="shared" si="118"/>
        <v>0.1</v>
      </c>
      <c r="AO111" s="185" t="str">
        <f t="shared" si="151"/>
        <v>NaN</v>
      </c>
    </row>
    <row r="112" spans="1:41" x14ac:dyDescent="0.2">
      <c r="A112" s="3" t="s">
        <v>296</v>
      </c>
      <c r="B112" s="3" t="s">
        <v>296</v>
      </c>
      <c r="C112" s="52">
        <v>2321</v>
      </c>
      <c r="D112" s="105">
        <v>63.190600000000003</v>
      </c>
      <c r="E112" s="105">
        <v>19.012499999999999</v>
      </c>
      <c r="F112" s="20">
        <v>8195</v>
      </c>
      <c r="G112" s="18">
        <v>0</v>
      </c>
      <c r="H112" s="53">
        <v>7</v>
      </c>
      <c r="I112" s="167">
        <f t="shared" ref="I112:K112" si="154">ROUND(I124,3)</f>
        <v>-0.36199999999999999</v>
      </c>
      <c r="J112" s="104">
        <f t="shared" si="154"/>
        <v>0.438</v>
      </c>
      <c r="K112" s="104">
        <f t="shared" si="154"/>
        <v>3.3000000000000002E-2</v>
      </c>
      <c r="L112" s="105">
        <f t="shared" ref="L112:N112" si="155">ROUND(L124,4)</f>
        <v>0.13070000000000001</v>
      </c>
      <c r="M112" s="105">
        <f t="shared" si="155"/>
        <v>1.8E-3</v>
      </c>
      <c r="N112" s="105">
        <f t="shared" si="155"/>
        <v>2E-3</v>
      </c>
      <c r="O112" s="20">
        <f t="shared" si="141"/>
        <v>180</v>
      </c>
      <c r="P112" s="20">
        <f t="shared" si="141"/>
        <v>60</v>
      </c>
      <c r="Q112" s="104">
        <f t="shared" si="142"/>
        <v>1E-3</v>
      </c>
      <c r="R112" s="20">
        <f t="shared" si="143"/>
        <v>3</v>
      </c>
      <c r="S112" s="20">
        <f t="shared" si="143"/>
        <v>1500</v>
      </c>
      <c r="T112" s="104">
        <f t="shared" si="144"/>
        <v>0.1</v>
      </c>
      <c r="U112" s="54" t="s">
        <v>282</v>
      </c>
      <c r="V112" s="44"/>
      <c r="W112" s="58">
        <f t="shared" si="133"/>
        <v>2321</v>
      </c>
      <c r="X112" s="102">
        <f t="shared" si="134"/>
        <v>63.190600000000003</v>
      </c>
      <c r="Y112" s="102">
        <f t="shared" si="135"/>
        <v>19.012499999999999</v>
      </c>
      <c r="Z112" s="21">
        <f t="shared" si="136"/>
        <v>8195</v>
      </c>
      <c r="AA112" s="44">
        <f t="shared" si="137"/>
        <v>0</v>
      </c>
      <c r="AB112" s="21">
        <f t="shared" si="138"/>
        <v>7</v>
      </c>
      <c r="AC112" s="121">
        <f>ROUND(I112+mwreg!$G$17/100,3)</f>
        <v>-0.36599999999999999</v>
      </c>
      <c r="AD112" s="101">
        <f>ROUND(J112+mwreg!$G$17/100,3)</f>
        <v>0.434</v>
      </c>
      <c r="AE112" s="101">
        <f>ROUND(K112+mwreg!$G$17/100,3)</f>
        <v>2.9000000000000001E-2</v>
      </c>
      <c r="AF112" s="102">
        <f t="shared" si="97"/>
        <v>0.13070000000000001</v>
      </c>
      <c r="AG112" s="102">
        <f t="shared" si="98"/>
        <v>1.8E-3</v>
      </c>
      <c r="AH112" s="102">
        <f t="shared" si="112"/>
        <v>2E-3</v>
      </c>
      <c r="AI112" s="21">
        <f t="shared" si="113"/>
        <v>180</v>
      </c>
      <c r="AJ112" s="21">
        <f t="shared" si="114"/>
        <v>60</v>
      </c>
      <c r="AK112" s="101">
        <f t="shared" si="115"/>
        <v>1E-3</v>
      </c>
      <c r="AL112" s="21">
        <f t="shared" si="116"/>
        <v>3</v>
      </c>
      <c r="AM112" s="21">
        <f t="shared" si="117"/>
        <v>1500</v>
      </c>
      <c r="AN112" s="101">
        <f t="shared" si="118"/>
        <v>0.1</v>
      </c>
      <c r="AO112" s="185" t="str">
        <f t="shared" si="151"/>
        <v>NaN</v>
      </c>
    </row>
    <row r="113" spans="1:41" x14ac:dyDescent="0.2">
      <c r="A113" s="3" t="s">
        <v>296</v>
      </c>
      <c r="B113" s="3" t="s">
        <v>296</v>
      </c>
      <c r="C113" s="52">
        <v>2321</v>
      </c>
      <c r="D113" s="105">
        <v>63.190600000000003</v>
      </c>
      <c r="E113" s="105">
        <v>19.012499999999999</v>
      </c>
      <c r="F113" s="20">
        <v>8195</v>
      </c>
      <c r="G113" s="18">
        <v>0</v>
      </c>
      <c r="H113" s="53">
        <v>8</v>
      </c>
      <c r="I113" s="167">
        <f t="shared" ref="I113:K113" si="156">ROUND(I125,3)</f>
        <v>-0.39200000000000002</v>
      </c>
      <c r="J113" s="104">
        <f t="shared" si="156"/>
        <v>0.46</v>
      </c>
      <c r="K113" s="104">
        <f t="shared" si="156"/>
        <v>2.5999999999999999E-2</v>
      </c>
      <c r="L113" s="105">
        <f t="shared" ref="L113:N113" si="157">ROUND(L125,4)</f>
        <v>0.1152</v>
      </c>
      <c r="M113" s="105">
        <f t="shared" si="157"/>
        <v>6.9199999999999998E-2</v>
      </c>
      <c r="N113" s="105">
        <f t="shared" si="157"/>
        <v>7.0000000000000007E-2</v>
      </c>
      <c r="O113" s="20">
        <f t="shared" si="141"/>
        <v>180</v>
      </c>
      <c r="P113" s="20">
        <f t="shared" si="141"/>
        <v>60</v>
      </c>
      <c r="Q113" s="104">
        <f t="shared" si="142"/>
        <v>1E-3</v>
      </c>
      <c r="R113" s="20">
        <f t="shared" si="143"/>
        <v>3</v>
      </c>
      <c r="S113" s="20">
        <f t="shared" si="143"/>
        <v>1500</v>
      </c>
      <c r="T113" s="104">
        <f t="shared" si="144"/>
        <v>0.1</v>
      </c>
      <c r="U113" s="54" t="s">
        <v>282</v>
      </c>
      <c r="V113" s="44"/>
      <c r="W113" s="58">
        <f t="shared" si="133"/>
        <v>2321</v>
      </c>
      <c r="X113" s="102">
        <f t="shared" si="134"/>
        <v>63.190600000000003</v>
      </c>
      <c r="Y113" s="102">
        <f t="shared" si="135"/>
        <v>19.012499999999999</v>
      </c>
      <c r="Z113" s="21">
        <f t="shared" si="136"/>
        <v>8195</v>
      </c>
      <c r="AA113" s="44">
        <f t="shared" si="137"/>
        <v>0</v>
      </c>
      <c r="AB113" s="21">
        <f t="shared" si="138"/>
        <v>8</v>
      </c>
      <c r="AC113" s="121">
        <f>ROUND(I113+mwreg!$G$17/100,3)</f>
        <v>-0.39600000000000002</v>
      </c>
      <c r="AD113" s="101">
        <f>ROUND(J113+mwreg!$G$17/100,3)</f>
        <v>0.45600000000000002</v>
      </c>
      <c r="AE113" s="101">
        <f>ROUND(K113+mwreg!$G$17/100,3)</f>
        <v>2.1999999999999999E-2</v>
      </c>
      <c r="AF113" s="102">
        <f t="shared" si="97"/>
        <v>0.1152</v>
      </c>
      <c r="AG113" s="102">
        <f t="shared" si="98"/>
        <v>6.9199999999999998E-2</v>
      </c>
      <c r="AH113" s="102">
        <f t="shared" si="112"/>
        <v>7.0000000000000007E-2</v>
      </c>
      <c r="AI113" s="21">
        <f t="shared" si="113"/>
        <v>180</v>
      </c>
      <c r="AJ113" s="21">
        <f t="shared" si="114"/>
        <v>60</v>
      </c>
      <c r="AK113" s="101">
        <f t="shared" si="115"/>
        <v>1E-3</v>
      </c>
      <c r="AL113" s="21">
        <f t="shared" si="116"/>
        <v>3</v>
      </c>
      <c r="AM113" s="21">
        <f t="shared" si="117"/>
        <v>1500</v>
      </c>
      <c r="AN113" s="101">
        <f t="shared" si="118"/>
        <v>0.1</v>
      </c>
      <c r="AO113" s="185" t="str">
        <f t="shared" si="151"/>
        <v>NaN</v>
      </c>
    </row>
    <row r="114" spans="1:41" x14ac:dyDescent="0.2">
      <c r="A114" s="3" t="s">
        <v>296</v>
      </c>
      <c r="B114" s="3" t="s">
        <v>296</v>
      </c>
      <c r="C114" s="52">
        <v>2321</v>
      </c>
      <c r="D114" s="105">
        <v>63.190600000000003</v>
      </c>
      <c r="E114" s="105">
        <v>19.012499999999999</v>
      </c>
      <c r="F114" s="20">
        <v>8195</v>
      </c>
      <c r="G114" s="18">
        <v>0</v>
      </c>
      <c r="H114" s="53">
        <v>9</v>
      </c>
      <c r="I114" s="167">
        <f t="shared" ref="I114:K114" si="158">ROUND(I126,3)</f>
        <v>-0.51200000000000001</v>
      </c>
      <c r="J114" s="104">
        <f t="shared" si="158"/>
        <v>0.57399999999999995</v>
      </c>
      <c r="K114" s="104">
        <f t="shared" si="158"/>
        <v>0.1</v>
      </c>
      <c r="L114" s="105">
        <f t="shared" ref="L114:N114" si="159">ROUND(L126,4)</f>
        <v>0.14130000000000001</v>
      </c>
      <c r="M114" s="105">
        <f t="shared" si="159"/>
        <v>9.5999999999999992E-3</v>
      </c>
      <c r="N114" s="105">
        <f t="shared" si="159"/>
        <v>0.01</v>
      </c>
      <c r="O114" s="20">
        <f t="shared" si="141"/>
        <v>180</v>
      </c>
      <c r="P114" s="20">
        <f t="shared" si="141"/>
        <v>60</v>
      </c>
      <c r="Q114" s="104">
        <f t="shared" si="142"/>
        <v>1E-3</v>
      </c>
      <c r="R114" s="20">
        <f t="shared" si="143"/>
        <v>3</v>
      </c>
      <c r="S114" s="20">
        <f t="shared" si="143"/>
        <v>1500</v>
      </c>
      <c r="T114" s="104">
        <f t="shared" si="144"/>
        <v>0.1</v>
      </c>
      <c r="U114" s="54" t="s">
        <v>282</v>
      </c>
      <c r="V114" s="44"/>
      <c r="W114" s="58">
        <f t="shared" si="133"/>
        <v>2321</v>
      </c>
      <c r="X114" s="102">
        <f t="shared" si="134"/>
        <v>63.190600000000003</v>
      </c>
      <c r="Y114" s="102">
        <f t="shared" si="135"/>
        <v>19.012499999999999</v>
      </c>
      <c r="Z114" s="21">
        <f t="shared" si="136"/>
        <v>8195</v>
      </c>
      <c r="AA114" s="44">
        <f t="shared" si="137"/>
        <v>0</v>
      </c>
      <c r="AB114" s="21">
        <f t="shared" si="138"/>
        <v>9</v>
      </c>
      <c r="AC114" s="121">
        <f>ROUND(I114+mwreg!$G$17/100,3)</f>
        <v>-0.51600000000000001</v>
      </c>
      <c r="AD114" s="101">
        <f>ROUND(J114+mwreg!$G$17/100,3)</f>
        <v>0.56999999999999995</v>
      </c>
      <c r="AE114" s="101">
        <f>ROUND(K114+mwreg!$G$17/100,3)</f>
        <v>9.6000000000000002E-2</v>
      </c>
      <c r="AF114" s="102">
        <f t="shared" si="97"/>
        <v>0.14130000000000001</v>
      </c>
      <c r="AG114" s="102">
        <f t="shared" si="98"/>
        <v>9.5999999999999992E-3</v>
      </c>
      <c r="AH114" s="102">
        <f t="shared" si="112"/>
        <v>0.01</v>
      </c>
      <c r="AI114" s="21">
        <f t="shared" si="113"/>
        <v>180</v>
      </c>
      <c r="AJ114" s="21">
        <f t="shared" si="114"/>
        <v>60</v>
      </c>
      <c r="AK114" s="101">
        <f t="shared" si="115"/>
        <v>1E-3</v>
      </c>
      <c r="AL114" s="21">
        <f t="shared" si="116"/>
        <v>3</v>
      </c>
      <c r="AM114" s="21">
        <f t="shared" si="117"/>
        <v>1500</v>
      </c>
      <c r="AN114" s="101">
        <f t="shared" si="118"/>
        <v>0.1</v>
      </c>
      <c r="AO114" s="185" t="str">
        <f t="shared" si="151"/>
        <v>NaN</v>
      </c>
    </row>
    <row r="115" spans="1:41" x14ac:dyDescent="0.2">
      <c r="A115" s="3" t="s">
        <v>296</v>
      </c>
      <c r="B115" s="3" t="s">
        <v>296</v>
      </c>
      <c r="C115" s="52">
        <v>2321</v>
      </c>
      <c r="D115" s="105">
        <v>63.190600000000003</v>
      </c>
      <c r="E115" s="105">
        <v>19.012499999999999</v>
      </c>
      <c r="F115" s="20">
        <v>8195</v>
      </c>
      <c r="G115" s="18">
        <v>0</v>
      </c>
      <c r="H115" s="53">
        <v>10</v>
      </c>
      <c r="I115" s="167">
        <f t="shared" ref="I115:K115" si="160">ROUND(I127,3)</f>
        <v>-0.65900000000000003</v>
      </c>
      <c r="J115" s="104">
        <f t="shared" si="160"/>
        <v>0.67200000000000004</v>
      </c>
      <c r="K115" s="104">
        <f t="shared" si="160"/>
        <v>0.09</v>
      </c>
      <c r="L115" s="105">
        <f t="shared" ref="L115:N115" si="161">ROUND(L127,4)</f>
        <v>0.18629999999999999</v>
      </c>
      <c r="M115" s="105">
        <f t="shared" si="161"/>
        <v>6.1000000000000004E-3</v>
      </c>
      <c r="N115" s="105">
        <f t="shared" si="161"/>
        <v>6.4999999999999997E-3</v>
      </c>
      <c r="O115" s="20">
        <f t="shared" si="141"/>
        <v>180</v>
      </c>
      <c r="P115" s="20">
        <f t="shared" si="141"/>
        <v>60</v>
      </c>
      <c r="Q115" s="104">
        <f t="shared" si="142"/>
        <v>1E-3</v>
      </c>
      <c r="R115" s="20">
        <f t="shared" si="143"/>
        <v>3</v>
      </c>
      <c r="S115" s="20">
        <f t="shared" si="143"/>
        <v>1500</v>
      </c>
      <c r="T115" s="104">
        <f t="shared" si="144"/>
        <v>0.1</v>
      </c>
      <c r="U115" s="54" t="s">
        <v>282</v>
      </c>
      <c r="V115" s="44"/>
      <c r="W115" s="58">
        <f t="shared" si="133"/>
        <v>2321</v>
      </c>
      <c r="X115" s="102">
        <f t="shared" si="134"/>
        <v>63.190600000000003</v>
      </c>
      <c r="Y115" s="102">
        <f t="shared" si="135"/>
        <v>19.012499999999999</v>
      </c>
      <c r="Z115" s="21">
        <f t="shared" si="136"/>
        <v>8195</v>
      </c>
      <c r="AA115" s="44">
        <f t="shared" si="137"/>
        <v>0</v>
      </c>
      <c r="AB115" s="21">
        <f t="shared" si="138"/>
        <v>10</v>
      </c>
      <c r="AC115" s="121">
        <f>ROUND(I115+mwreg!$G$17/100,3)</f>
        <v>-0.66300000000000003</v>
      </c>
      <c r="AD115" s="101">
        <f>ROUND(J115+mwreg!$G$17/100,3)</f>
        <v>0.66800000000000004</v>
      </c>
      <c r="AE115" s="101">
        <f>ROUND(K115+mwreg!$G$17/100,3)</f>
        <v>8.5999999999999993E-2</v>
      </c>
      <c r="AF115" s="102">
        <f t="shared" si="97"/>
        <v>0.18629999999999999</v>
      </c>
      <c r="AG115" s="102">
        <f t="shared" si="98"/>
        <v>6.1000000000000004E-3</v>
      </c>
      <c r="AH115" s="102">
        <f t="shared" si="112"/>
        <v>6.4999999999999997E-3</v>
      </c>
      <c r="AI115" s="21">
        <f t="shared" si="113"/>
        <v>180</v>
      </c>
      <c r="AJ115" s="21">
        <f t="shared" si="114"/>
        <v>60</v>
      </c>
      <c r="AK115" s="101">
        <f t="shared" si="115"/>
        <v>1E-3</v>
      </c>
      <c r="AL115" s="21">
        <f t="shared" si="116"/>
        <v>3</v>
      </c>
      <c r="AM115" s="21">
        <f t="shared" si="117"/>
        <v>1500</v>
      </c>
      <c r="AN115" s="101">
        <f t="shared" si="118"/>
        <v>0.1</v>
      </c>
      <c r="AO115" s="185" t="str">
        <f t="shared" si="151"/>
        <v>NaN</v>
      </c>
    </row>
    <row r="116" spans="1:41" x14ac:dyDescent="0.2">
      <c r="A116" s="3" t="s">
        <v>296</v>
      </c>
      <c r="B116" s="3" t="s">
        <v>296</v>
      </c>
      <c r="C116" s="52">
        <v>2321</v>
      </c>
      <c r="D116" s="105">
        <v>63.190600000000003</v>
      </c>
      <c r="E116" s="105">
        <v>19.012499999999999</v>
      </c>
      <c r="F116" s="20">
        <v>8195</v>
      </c>
      <c r="G116" s="18">
        <v>0</v>
      </c>
      <c r="H116" s="53">
        <v>11</v>
      </c>
      <c r="I116" s="167">
        <f t="shared" ref="I116:K116" si="162">ROUND(I128,3)</f>
        <v>-0.56999999999999995</v>
      </c>
      <c r="J116" s="104">
        <f t="shared" si="162"/>
        <v>0.996</v>
      </c>
      <c r="K116" s="104">
        <f t="shared" si="162"/>
        <v>5.6000000000000001E-2</v>
      </c>
      <c r="L116" s="105">
        <f t="shared" ref="L116:N116" si="163">ROUND(L128,4)</f>
        <v>0.22770000000000001</v>
      </c>
      <c r="M116" s="105">
        <f t="shared" si="163"/>
        <v>4.9299999999999997E-2</v>
      </c>
      <c r="N116" s="105">
        <f t="shared" si="163"/>
        <v>0.05</v>
      </c>
      <c r="O116" s="20">
        <f t="shared" si="141"/>
        <v>180</v>
      </c>
      <c r="P116" s="20">
        <f t="shared" si="141"/>
        <v>60</v>
      </c>
      <c r="Q116" s="104">
        <f t="shared" si="142"/>
        <v>1E-3</v>
      </c>
      <c r="R116" s="20">
        <f t="shared" si="143"/>
        <v>3</v>
      </c>
      <c r="S116" s="20">
        <f t="shared" si="143"/>
        <v>1500</v>
      </c>
      <c r="T116" s="104">
        <f t="shared" si="144"/>
        <v>0.1</v>
      </c>
      <c r="U116" s="54" t="s">
        <v>282</v>
      </c>
      <c r="V116" s="44"/>
      <c r="W116" s="58">
        <f t="shared" si="133"/>
        <v>2321</v>
      </c>
      <c r="X116" s="102">
        <f t="shared" si="134"/>
        <v>63.190600000000003</v>
      </c>
      <c r="Y116" s="102">
        <f t="shared" si="135"/>
        <v>19.012499999999999</v>
      </c>
      <c r="Z116" s="21">
        <f t="shared" si="136"/>
        <v>8195</v>
      </c>
      <c r="AA116" s="44">
        <f t="shared" si="137"/>
        <v>0</v>
      </c>
      <c r="AB116" s="21">
        <f t="shared" si="138"/>
        <v>11</v>
      </c>
      <c r="AC116" s="121">
        <f>ROUND(I116+mwreg!$G$17/100,3)</f>
        <v>-0.57399999999999995</v>
      </c>
      <c r="AD116" s="101">
        <f>ROUND(J116+mwreg!$G$17/100,3)</f>
        <v>0.99199999999999999</v>
      </c>
      <c r="AE116" s="101">
        <f>ROUND(K116+mwreg!$G$17/100,3)</f>
        <v>5.1999999999999998E-2</v>
      </c>
      <c r="AF116" s="102">
        <f t="shared" si="97"/>
        <v>0.22770000000000001</v>
      </c>
      <c r="AG116" s="102">
        <f t="shared" si="98"/>
        <v>4.9299999999999997E-2</v>
      </c>
      <c r="AH116" s="102">
        <f t="shared" si="112"/>
        <v>0.05</v>
      </c>
      <c r="AI116" s="21">
        <f t="shared" si="113"/>
        <v>180</v>
      </c>
      <c r="AJ116" s="21">
        <f t="shared" si="114"/>
        <v>60</v>
      </c>
      <c r="AK116" s="101">
        <f t="shared" si="115"/>
        <v>1E-3</v>
      </c>
      <c r="AL116" s="21">
        <f t="shared" si="116"/>
        <v>3</v>
      </c>
      <c r="AM116" s="21">
        <f t="shared" si="117"/>
        <v>1500</v>
      </c>
      <c r="AN116" s="101">
        <f t="shared" si="118"/>
        <v>0.1</v>
      </c>
      <c r="AO116" s="185" t="str">
        <f t="shared" si="151"/>
        <v>NaN</v>
      </c>
    </row>
    <row r="117" spans="1:41" x14ac:dyDescent="0.2">
      <c r="A117" s="3" t="s">
        <v>296</v>
      </c>
      <c r="B117" s="3" t="s">
        <v>296</v>
      </c>
      <c r="C117" s="52">
        <v>2321</v>
      </c>
      <c r="D117" s="105">
        <v>63.190600000000003</v>
      </c>
      <c r="E117" s="105">
        <v>19.012499999999999</v>
      </c>
      <c r="F117" s="20">
        <v>8195</v>
      </c>
      <c r="G117" s="18">
        <v>0</v>
      </c>
      <c r="H117" s="53">
        <v>12</v>
      </c>
      <c r="I117" s="167">
        <f t="shared" ref="I117:K117" si="164">ROUND(I129,3)</f>
        <v>-0.75</v>
      </c>
      <c r="J117" s="104">
        <f t="shared" si="164"/>
        <v>1.228</v>
      </c>
      <c r="K117" s="104">
        <f t="shared" si="164"/>
        <v>0.11</v>
      </c>
      <c r="L117" s="105">
        <f t="shared" ref="L117:N117" si="165">ROUND(L129,4)</f>
        <v>0.2276</v>
      </c>
      <c r="M117" s="105">
        <f t="shared" si="165"/>
        <v>8.6E-3</v>
      </c>
      <c r="N117" s="105">
        <f t="shared" si="165"/>
        <v>9.1999999999999998E-3</v>
      </c>
      <c r="O117" s="20">
        <f t="shared" si="141"/>
        <v>180</v>
      </c>
      <c r="P117" s="20">
        <f t="shared" si="141"/>
        <v>60</v>
      </c>
      <c r="Q117" s="104">
        <f t="shared" si="142"/>
        <v>1E-3</v>
      </c>
      <c r="R117" s="20">
        <f t="shared" si="143"/>
        <v>3</v>
      </c>
      <c r="S117" s="20">
        <f t="shared" si="143"/>
        <v>1500</v>
      </c>
      <c r="T117" s="104">
        <f t="shared" si="144"/>
        <v>0.1</v>
      </c>
      <c r="U117" s="54" t="s">
        <v>282</v>
      </c>
      <c r="V117" s="44"/>
      <c r="W117" s="58">
        <f t="shared" si="133"/>
        <v>2321</v>
      </c>
      <c r="X117" s="102">
        <f t="shared" si="134"/>
        <v>63.190600000000003</v>
      </c>
      <c r="Y117" s="102">
        <f t="shared" si="135"/>
        <v>19.012499999999999</v>
      </c>
      <c r="Z117" s="21">
        <f t="shared" si="136"/>
        <v>8195</v>
      </c>
      <c r="AA117" s="44">
        <f t="shared" si="137"/>
        <v>0</v>
      </c>
      <c r="AB117" s="21">
        <f t="shared" si="138"/>
        <v>12</v>
      </c>
      <c r="AC117" s="121">
        <f>ROUND(I117+mwreg!$G$17/100,3)</f>
        <v>-0.754</v>
      </c>
      <c r="AD117" s="101">
        <f>ROUND(J117+mwreg!$G$17/100,3)</f>
        <v>1.224</v>
      </c>
      <c r="AE117" s="101">
        <f>ROUND(K117+mwreg!$G$17/100,3)</f>
        <v>0.106</v>
      </c>
      <c r="AF117" s="102">
        <f t="shared" si="97"/>
        <v>0.2276</v>
      </c>
      <c r="AG117" s="102">
        <f t="shared" si="98"/>
        <v>8.6E-3</v>
      </c>
      <c r="AH117" s="102">
        <f t="shared" si="112"/>
        <v>9.1999999999999998E-3</v>
      </c>
      <c r="AI117" s="21">
        <f t="shared" si="113"/>
        <v>180</v>
      </c>
      <c r="AJ117" s="21">
        <f t="shared" si="114"/>
        <v>60</v>
      </c>
      <c r="AK117" s="101">
        <f t="shared" si="115"/>
        <v>1E-3</v>
      </c>
      <c r="AL117" s="21">
        <f t="shared" si="116"/>
        <v>3</v>
      </c>
      <c r="AM117" s="21">
        <f t="shared" si="117"/>
        <v>1500</v>
      </c>
      <c r="AN117" s="101">
        <f t="shared" si="118"/>
        <v>0.1</v>
      </c>
      <c r="AO117" s="185" t="str">
        <f t="shared" si="151"/>
        <v>NaN</v>
      </c>
    </row>
    <row r="118" spans="1:41" x14ac:dyDescent="0.2">
      <c r="A118" s="3" t="str">
        <f>stat_uppg!A18</f>
        <v>110/35138</v>
      </c>
      <c r="B118" s="3" t="str">
        <f>stat_uppg!B18</f>
        <v>SKAGSUDDE2 (SJÖV)</v>
      </c>
      <c r="C118" s="55">
        <v>35138</v>
      </c>
      <c r="D118" s="79">
        <v>63.190600000000003</v>
      </c>
      <c r="E118" s="79">
        <v>19.012499999999999</v>
      </c>
      <c r="F118" s="14">
        <v>8195</v>
      </c>
      <c r="G118" s="10">
        <v>0</v>
      </c>
      <c r="H118" s="122">
        <v>1</v>
      </c>
      <c r="I118" s="165">
        <v>-0.84399999999999997</v>
      </c>
      <c r="J118" s="11">
        <v>1.1080000000000001</v>
      </c>
      <c r="K118" s="11">
        <v>0.218</v>
      </c>
      <c r="L118" s="79">
        <v>0.26250000000000001</v>
      </c>
      <c r="M118" s="79">
        <v>6.3600000000000004E-2</v>
      </c>
      <c r="N118" s="79">
        <v>6.5000000000000002E-2</v>
      </c>
      <c r="O118" s="14">
        <v>180</v>
      </c>
      <c r="P118" s="14">
        <v>60</v>
      </c>
      <c r="Q118" s="11">
        <v>1E-3</v>
      </c>
      <c r="R118" s="14">
        <v>3</v>
      </c>
      <c r="S118" s="14">
        <v>1500</v>
      </c>
      <c r="T118" s="11">
        <v>0.1</v>
      </c>
      <c r="U118" s="122">
        <v>127670</v>
      </c>
      <c r="V118" s="35"/>
      <c r="W118" s="99">
        <f t="shared" si="133"/>
        <v>35138</v>
      </c>
      <c r="X118" s="100">
        <f t="shared" si="134"/>
        <v>63.190600000000003</v>
      </c>
      <c r="Y118" s="100">
        <f t="shared" si="135"/>
        <v>19.012499999999999</v>
      </c>
      <c r="Z118" s="22">
        <f t="shared" si="136"/>
        <v>8195</v>
      </c>
      <c r="AA118" s="35">
        <f t="shared" si="137"/>
        <v>0</v>
      </c>
      <c r="AB118" s="22">
        <f t="shared" si="138"/>
        <v>1</v>
      </c>
      <c r="AC118" s="120">
        <f>ROUND(I118+mwreg!$G$18/100,3)</f>
        <v>-0.84799999999999998</v>
      </c>
      <c r="AD118" s="106">
        <f>ROUND(J118+mwreg!$G$18/100,3)</f>
        <v>1.1040000000000001</v>
      </c>
      <c r="AE118" s="106">
        <f>ROUND(K118+mwreg!$G$18/100,3)</f>
        <v>0.214</v>
      </c>
      <c r="AF118" s="100">
        <f t="shared" si="97"/>
        <v>0.26250000000000001</v>
      </c>
      <c r="AG118" s="100">
        <f t="shared" si="98"/>
        <v>6.3600000000000004E-2</v>
      </c>
      <c r="AH118" s="100">
        <f t="shared" si="112"/>
        <v>6.5000000000000002E-2</v>
      </c>
      <c r="AI118" s="22">
        <f t="shared" si="113"/>
        <v>180</v>
      </c>
      <c r="AJ118" s="22">
        <f t="shared" si="114"/>
        <v>60</v>
      </c>
      <c r="AK118" s="106">
        <f t="shared" si="115"/>
        <v>1E-3</v>
      </c>
      <c r="AL118" s="22">
        <f t="shared" si="116"/>
        <v>3</v>
      </c>
      <c r="AM118" s="22">
        <f t="shared" si="117"/>
        <v>1500</v>
      </c>
      <c r="AN118" s="106">
        <f t="shared" si="118"/>
        <v>0.1</v>
      </c>
      <c r="AO118" s="184">
        <f t="shared" si="151"/>
        <v>127670</v>
      </c>
    </row>
    <row r="119" spans="1:41" x14ac:dyDescent="0.2">
      <c r="A119" s="3" t="s">
        <v>296</v>
      </c>
      <c r="B119" s="3" t="s">
        <v>296</v>
      </c>
      <c r="C119" s="55">
        <v>35138</v>
      </c>
      <c r="D119" s="79">
        <v>63.190600000000003</v>
      </c>
      <c r="E119" s="79">
        <v>19.012499999999999</v>
      </c>
      <c r="F119" s="14">
        <v>8195</v>
      </c>
      <c r="G119" s="10">
        <v>0</v>
      </c>
      <c r="H119" s="122">
        <v>2</v>
      </c>
      <c r="I119" s="165">
        <v>-0.73</v>
      </c>
      <c r="J119" s="11">
        <v>1.3080000000000001</v>
      </c>
      <c r="K119" s="11">
        <v>0.216</v>
      </c>
      <c r="L119" s="79">
        <v>0.32269999999999999</v>
      </c>
      <c r="M119" s="79">
        <v>9.5999999999999992E-3</v>
      </c>
      <c r="N119" s="79">
        <v>0.01</v>
      </c>
      <c r="O119" s="14">
        <v>180</v>
      </c>
      <c r="P119" s="14">
        <v>60</v>
      </c>
      <c r="Q119" s="11">
        <v>1E-3</v>
      </c>
      <c r="R119" s="14">
        <v>3</v>
      </c>
      <c r="S119" s="14">
        <v>1500</v>
      </c>
      <c r="T119" s="11">
        <v>0.1</v>
      </c>
      <c r="U119" s="122">
        <v>113802</v>
      </c>
      <c r="V119" s="35"/>
      <c r="W119" s="99">
        <f t="shared" si="133"/>
        <v>35138</v>
      </c>
      <c r="X119" s="100">
        <f t="shared" si="134"/>
        <v>63.190600000000003</v>
      </c>
      <c r="Y119" s="100">
        <f t="shared" si="135"/>
        <v>19.012499999999999</v>
      </c>
      <c r="Z119" s="22">
        <f t="shared" si="136"/>
        <v>8195</v>
      </c>
      <c r="AA119" s="35">
        <f t="shared" si="137"/>
        <v>0</v>
      </c>
      <c r="AB119" s="22">
        <f t="shared" si="138"/>
        <v>2</v>
      </c>
      <c r="AC119" s="120">
        <f>ROUND(I119+mwreg!$G$18/100,3)</f>
        <v>-0.73399999999999999</v>
      </c>
      <c r="AD119" s="106">
        <f>ROUND(J119+mwreg!$G$18/100,3)</f>
        <v>1.304</v>
      </c>
      <c r="AE119" s="106">
        <f>ROUND(K119+mwreg!$G$18/100,3)</f>
        <v>0.21199999999999999</v>
      </c>
      <c r="AF119" s="100">
        <f t="shared" si="97"/>
        <v>0.32269999999999999</v>
      </c>
      <c r="AG119" s="100">
        <f t="shared" si="98"/>
        <v>9.5999999999999992E-3</v>
      </c>
      <c r="AH119" s="100">
        <f t="shared" si="112"/>
        <v>0.01</v>
      </c>
      <c r="AI119" s="22">
        <f t="shared" si="113"/>
        <v>180</v>
      </c>
      <c r="AJ119" s="22">
        <f t="shared" si="114"/>
        <v>60</v>
      </c>
      <c r="AK119" s="106">
        <f t="shared" si="115"/>
        <v>1E-3</v>
      </c>
      <c r="AL119" s="22">
        <f t="shared" si="116"/>
        <v>3</v>
      </c>
      <c r="AM119" s="22">
        <f t="shared" si="117"/>
        <v>1500</v>
      </c>
      <c r="AN119" s="106">
        <f t="shared" si="118"/>
        <v>0.1</v>
      </c>
      <c r="AO119" s="184">
        <f t="shared" si="151"/>
        <v>113802</v>
      </c>
    </row>
    <row r="120" spans="1:41" x14ac:dyDescent="0.2">
      <c r="A120" s="3" t="s">
        <v>296</v>
      </c>
      <c r="B120" s="3" t="s">
        <v>296</v>
      </c>
      <c r="C120" s="55">
        <v>35138</v>
      </c>
      <c r="D120" s="79">
        <v>63.190600000000003</v>
      </c>
      <c r="E120" s="79">
        <v>19.012499999999999</v>
      </c>
      <c r="F120" s="14">
        <v>8195</v>
      </c>
      <c r="G120" s="10">
        <v>0</v>
      </c>
      <c r="H120" s="122">
        <v>3</v>
      </c>
      <c r="I120" s="165">
        <v>-0.67</v>
      </c>
      <c r="J120" s="11">
        <v>0.85199999999999998</v>
      </c>
      <c r="K120" s="11">
        <v>0.13300000000000001</v>
      </c>
      <c r="L120" s="79">
        <v>0.23499999999999999</v>
      </c>
      <c r="M120" s="79">
        <v>1.4500000000000001E-2</v>
      </c>
      <c r="N120" s="79">
        <v>1.4999999999999999E-2</v>
      </c>
      <c r="O120" s="14">
        <v>180</v>
      </c>
      <c r="P120" s="14">
        <v>60</v>
      </c>
      <c r="Q120" s="11">
        <v>1E-3</v>
      </c>
      <c r="R120" s="14">
        <v>3</v>
      </c>
      <c r="S120" s="14">
        <v>1500</v>
      </c>
      <c r="T120" s="11">
        <v>0.1</v>
      </c>
      <c r="U120" s="122">
        <v>126381</v>
      </c>
      <c r="V120" s="35"/>
      <c r="W120" s="99">
        <f t="shared" si="133"/>
        <v>35138</v>
      </c>
      <c r="X120" s="100">
        <f t="shared" si="134"/>
        <v>63.190600000000003</v>
      </c>
      <c r="Y120" s="100">
        <f t="shared" si="135"/>
        <v>19.012499999999999</v>
      </c>
      <c r="Z120" s="22">
        <f t="shared" si="136"/>
        <v>8195</v>
      </c>
      <c r="AA120" s="35">
        <f t="shared" si="137"/>
        <v>0</v>
      </c>
      <c r="AB120" s="22">
        <f t="shared" si="138"/>
        <v>3</v>
      </c>
      <c r="AC120" s="120">
        <f>ROUND(I120+mwreg!$G$18/100,3)</f>
        <v>-0.67400000000000004</v>
      </c>
      <c r="AD120" s="106">
        <f>ROUND(J120+mwreg!$G$18/100,3)</f>
        <v>0.84799999999999998</v>
      </c>
      <c r="AE120" s="106">
        <f>ROUND(K120+mwreg!$G$18/100,3)</f>
        <v>0.129</v>
      </c>
      <c r="AF120" s="100">
        <f t="shared" si="97"/>
        <v>0.23499999999999999</v>
      </c>
      <c r="AG120" s="100">
        <f t="shared" si="98"/>
        <v>1.4500000000000001E-2</v>
      </c>
      <c r="AH120" s="100">
        <f t="shared" si="112"/>
        <v>1.4999999999999999E-2</v>
      </c>
      <c r="AI120" s="22">
        <f t="shared" si="113"/>
        <v>180</v>
      </c>
      <c r="AJ120" s="22">
        <f t="shared" si="114"/>
        <v>60</v>
      </c>
      <c r="AK120" s="106">
        <f t="shared" si="115"/>
        <v>1E-3</v>
      </c>
      <c r="AL120" s="22">
        <f t="shared" si="116"/>
        <v>3</v>
      </c>
      <c r="AM120" s="22">
        <f t="shared" si="117"/>
        <v>1500</v>
      </c>
      <c r="AN120" s="106">
        <f t="shared" si="118"/>
        <v>0.1</v>
      </c>
      <c r="AO120" s="184">
        <f t="shared" si="151"/>
        <v>126381</v>
      </c>
    </row>
    <row r="121" spans="1:41" x14ac:dyDescent="0.2">
      <c r="A121" s="3" t="s">
        <v>296</v>
      </c>
      <c r="B121" s="3" t="s">
        <v>296</v>
      </c>
      <c r="C121" s="55">
        <v>35138</v>
      </c>
      <c r="D121" s="79">
        <v>63.190600000000003</v>
      </c>
      <c r="E121" s="79">
        <v>19.012499999999999</v>
      </c>
      <c r="F121" s="14">
        <v>8195</v>
      </c>
      <c r="G121" s="10">
        <v>0</v>
      </c>
      <c r="H121" s="122">
        <v>4</v>
      </c>
      <c r="I121" s="165">
        <v>-0.54400000000000004</v>
      </c>
      <c r="J121" s="11">
        <v>0.502</v>
      </c>
      <c r="K121" s="11">
        <v>-8.8999999999999996E-2</v>
      </c>
      <c r="L121" s="79">
        <v>0.18779999999999999</v>
      </c>
      <c r="M121" s="79">
        <v>9.9000000000000008E-3</v>
      </c>
      <c r="N121" s="79">
        <v>1.03E-2</v>
      </c>
      <c r="O121" s="14">
        <v>180</v>
      </c>
      <c r="P121" s="14">
        <v>60</v>
      </c>
      <c r="Q121" s="11">
        <v>1E-3</v>
      </c>
      <c r="R121" s="14">
        <v>3</v>
      </c>
      <c r="S121" s="14">
        <v>1500</v>
      </c>
      <c r="T121" s="11">
        <v>0.1</v>
      </c>
      <c r="U121" s="122">
        <v>120556</v>
      </c>
      <c r="V121" s="35"/>
      <c r="W121" s="99">
        <f t="shared" si="133"/>
        <v>35138</v>
      </c>
      <c r="X121" s="100">
        <f t="shared" si="134"/>
        <v>63.190600000000003</v>
      </c>
      <c r="Y121" s="100">
        <f t="shared" si="135"/>
        <v>19.012499999999999</v>
      </c>
      <c r="Z121" s="22">
        <f t="shared" si="136"/>
        <v>8195</v>
      </c>
      <c r="AA121" s="35">
        <f t="shared" si="137"/>
        <v>0</v>
      </c>
      <c r="AB121" s="22">
        <f t="shared" si="138"/>
        <v>4</v>
      </c>
      <c r="AC121" s="120">
        <f>ROUND(I121+mwreg!$G$18/100,3)</f>
        <v>-0.54800000000000004</v>
      </c>
      <c r="AD121" s="106">
        <f>ROUND(J121+mwreg!$G$18/100,3)</f>
        <v>0.498</v>
      </c>
      <c r="AE121" s="106">
        <f>ROUND(K121+mwreg!$G$18/100,3)</f>
        <v>-9.2999999999999999E-2</v>
      </c>
      <c r="AF121" s="100">
        <f t="shared" si="97"/>
        <v>0.18779999999999999</v>
      </c>
      <c r="AG121" s="100">
        <f t="shared" si="98"/>
        <v>9.9000000000000008E-3</v>
      </c>
      <c r="AH121" s="100">
        <f t="shared" si="112"/>
        <v>1.03E-2</v>
      </c>
      <c r="AI121" s="22">
        <f t="shared" si="113"/>
        <v>180</v>
      </c>
      <c r="AJ121" s="22">
        <f t="shared" si="114"/>
        <v>60</v>
      </c>
      <c r="AK121" s="106">
        <f t="shared" si="115"/>
        <v>1E-3</v>
      </c>
      <c r="AL121" s="22">
        <f t="shared" si="116"/>
        <v>3</v>
      </c>
      <c r="AM121" s="22">
        <f t="shared" si="117"/>
        <v>1500</v>
      </c>
      <c r="AN121" s="106">
        <f t="shared" si="118"/>
        <v>0.1</v>
      </c>
      <c r="AO121" s="184">
        <f t="shared" si="151"/>
        <v>120556</v>
      </c>
    </row>
    <row r="122" spans="1:41" x14ac:dyDescent="0.2">
      <c r="A122" s="3" t="s">
        <v>296</v>
      </c>
      <c r="B122" s="3" t="s">
        <v>296</v>
      </c>
      <c r="C122" s="55">
        <v>35138</v>
      </c>
      <c r="D122" s="79">
        <v>63.190600000000003</v>
      </c>
      <c r="E122" s="79">
        <v>19.012499999999999</v>
      </c>
      <c r="F122" s="14">
        <v>8195</v>
      </c>
      <c r="G122" s="10">
        <v>0</v>
      </c>
      <c r="H122" s="122">
        <v>5</v>
      </c>
      <c r="I122" s="165">
        <v>-0.48799999999999999</v>
      </c>
      <c r="J122" s="11">
        <v>0.38900000000000001</v>
      </c>
      <c r="K122" s="11">
        <v>-6.9000000000000006E-2</v>
      </c>
      <c r="L122" s="79">
        <v>0.1421</v>
      </c>
      <c r="M122" s="79">
        <v>3.3500000000000002E-2</v>
      </c>
      <c r="N122" s="79">
        <v>3.4000000000000002E-2</v>
      </c>
      <c r="O122" s="14">
        <v>180</v>
      </c>
      <c r="P122" s="14">
        <v>60</v>
      </c>
      <c r="Q122" s="11">
        <v>1E-3</v>
      </c>
      <c r="R122" s="14">
        <v>3</v>
      </c>
      <c r="S122" s="14">
        <v>1500</v>
      </c>
      <c r="T122" s="11">
        <v>0.1</v>
      </c>
      <c r="U122" s="122">
        <v>161592</v>
      </c>
      <c r="V122" s="35"/>
      <c r="W122" s="99">
        <f t="shared" si="133"/>
        <v>35138</v>
      </c>
      <c r="X122" s="100">
        <f t="shared" si="134"/>
        <v>63.190600000000003</v>
      </c>
      <c r="Y122" s="100">
        <f t="shared" si="135"/>
        <v>19.012499999999999</v>
      </c>
      <c r="Z122" s="22">
        <f t="shared" si="136"/>
        <v>8195</v>
      </c>
      <c r="AA122" s="35">
        <f t="shared" si="137"/>
        <v>0</v>
      </c>
      <c r="AB122" s="22">
        <f t="shared" si="138"/>
        <v>5</v>
      </c>
      <c r="AC122" s="120">
        <f>ROUND(I122+mwreg!$G$18/100,3)</f>
        <v>-0.49199999999999999</v>
      </c>
      <c r="AD122" s="106">
        <f>ROUND(J122+mwreg!$G$18/100,3)</f>
        <v>0.38500000000000001</v>
      </c>
      <c r="AE122" s="106">
        <f>ROUND(K122+mwreg!$G$18/100,3)</f>
        <v>-7.2999999999999995E-2</v>
      </c>
      <c r="AF122" s="100">
        <f t="shared" si="97"/>
        <v>0.1421</v>
      </c>
      <c r="AG122" s="100">
        <f t="shared" si="98"/>
        <v>3.3500000000000002E-2</v>
      </c>
      <c r="AH122" s="100">
        <f t="shared" si="112"/>
        <v>3.4000000000000002E-2</v>
      </c>
      <c r="AI122" s="22">
        <f t="shared" si="113"/>
        <v>180</v>
      </c>
      <c r="AJ122" s="22">
        <f t="shared" si="114"/>
        <v>60</v>
      </c>
      <c r="AK122" s="106">
        <f t="shared" si="115"/>
        <v>1E-3</v>
      </c>
      <c r="AL122" s="22">
        <f t="shared" si="116"/>
        <v>3</v>
      </c>
      <c r="AM122" s="22">
        <f t="shared" si="117"/>
        <v>1500</v>
      </c>
      <c r="AN122" s="106">
        <f t="shared" si="118"/>
        <v>0.1</v>
      </c>
      <c r="AO122" s="184">
        <f t="shared" si="151"/>
        <v>161592</v>
      </c>
    </row>
    <row r="123" spans="1:41" x14ac:dyDescent="0.2">
      <c r="A123" s="3" t="s">
        <v>296</v>
      </c>
      <c r="B123" s="3" t="s">
        <v>296</v>
      </c>
      <c r="C123" s="55">
        <v>35138</v>
      </c>
      <c r="D123" s="79">
        <v>63.190600000000003</v>
      </c>
      <c r="E123" s="79">
        <v>19.012499999999999</v>
      </c>
      <c r="F123" s="14">
        <v>8195</v>
      </c>
      <c r="G123" s="10">
        <v>0</v>
      </c>
      <c r="H123" s="122">
        <v>6</v>
      </c>
      <c r="I123" s="165">
        <v>-0.50900000000000001</v>
      </c>
      <c r="J123" s="11">
        <v>0.49399999999999999</v>
      </c>
      <c r="K123" s="11">
        <v>-8.4000000000000005E-2</v>
      </c>
      <c r="L123" s="79">
        <v>0.12709999999999999</v>
      </c>
      <c r="M123" s="79">
        <v>8.0000000000000002E-3</v>
      </c>
      <c r="N123" s="79">
        <v>8.3000000000000001E-3</v>
      </c>
      <c r="O123" s="14">
        <v>180</v>
      </c>
      <c r="P123" s="14">
        <v>60</v>
      </c>
      <c r="Q123" s="11">
        <v>1E-3</v>
      </c>
      <c r="R123" s="14">
        <v>3</v>
      </c>
      <c r="S123" s="14">
        <v>1500</v>
      </c>
      <c r="T123" s="11">
        <v>0.1</v>
      </c>
      <c r="U123" s="122">
        <v>156782</v>
      </c>
      <c r="V123" s="35"/>
      <c r="W123" s="99">
        <f t="shared" si="133"/>
        <v>35138</v>
      </c>
      <c r="X123" s="100">
        <f t="shared" si="134"/>
        <v>63.190600000000003</v>
      </c>
      <c r="Y123" s="100">
        <f t="shared" si="135"/>
        <v>19.012499999999999</v>
      </c>
      <c r="Z123" s="22">
        <f t="shared" si="136"/>
        <v>8195</v>
      </c>
      <c r="AA123" s="35">
        <f t="shared" si="137"/>
        <v>0</v>
      </c>
      <c r="AB123" s="22">
        <f t="shared" si="138"/>
        <v>6</v>
      </c>
      <c r="AC123" s="120">
        <f>ROUND(I123+mwreg!$G$18/100,3)</f>
        <v>-0.51300000000000001</v>
      </c>
      <c r="AD123" s="106">
        <f>ROUND(J123+mwreg!$G$18/100,3)</f>
        <v>0.49</v>
      </c>
      <c r="AE123" s="106">
        <f>ROUND(K123+mwreg!$G$18/100,3)</f>
        <v>-8.7999999999999995E-2</v>
      </c>
      <c r="AF123" s="100">
        <f t="shared" si="97"/>
        <v>0.12709999999999999</v>
      </c>
      <c r="AG123" s="100">
        <f t="shared" si="98"/>
        <v>8.0000000000000002E-3</v>
      </c>
      <c r="AH123" s="100">
        <f t="shared" si="112"/>
        <v>8.3000000000000001E-3</v>
      </c>
      <c r="AI123" s="22">
        <f t="shared" si="113"/>
        <v>180</v>
      </c>
      <c r="AJ123" s="22">
        <f t="shared" si="114"/>
        <v>60</v>
      </c>
      <c r="AK123" s="106">
        <f t="shared" si="115"/>
        <v>1E-3</v>
      </c>
      <c r="AL123" s="22">
        <f t="shared" si="116"/>
        <v>3</v>
      </c>
      <c r="AM123" s="22">
        <f t="shared" si="117"/>
        <v>1500</v>
      </c>
      <c r="AN123" s="106">
        <f t="shared" si="118"/>
        <v>0.1</v>
      </c>
      <c r="AO123" s="184">
        <f t="shared" si="151"/>
        <v>156782</v>
      </c>
    </row>
    <row r="124" spans="1:41" x14ac:dyDescent="0.2">
      <c r="A124" s="3" t="s">
        <v>296</v>
      </c>
      <c r="B124" s="3" t="s">
        <v>296</v>
      </c>
      <c r="C124" s="55">
        <v>35138</v>
      </c>
      <c r="D124" s="79">
        <v>63.190600000000003</v>
      </c>
      <c r="E124" s="79">
        <v>19.012499999999999</v>
      </c>
      <c r="F124" s="14">
        <v>8195</v>
      </c>
      <c r="G124" s="10">
        <v>0</v>
      </c>
      <c r="H124" s="122">
        <v>7</v>
      </c>
      <c r="I124" s="165">
        <v>-0.36199999999999999</v>
      </c>
      <c r="J124" s="11">
        <v>0.438</v>
      </c>
      <c r="K124" s="11">
        <v>3.3000000000000002E-2</v>
      </c>
      <c r="L124" s="79">
        <v>0.13070000000000001</v>
      </c>
      <c r="M124" s="79">
        <v>1.8E-3</v>
      </c>
      <c r="N124" s="79">
        <v>2E-3</v>
      </c>
      <c r="O124" s="14">
        <v>180</v>
      </c>
      <c r="P124" s="14">
        <v>60</v>
      </c>
      <c r="Q124" s="11">
        <v>1E-3</v>
      </c>
      <c r="R124" s="14">
        <v>3</v>
      </c>
      <c r="S124" s="14">
        <v>1500</v>
      </c>
      <c r="T124" s="11">
        <v>0.1</v>
      </c>
      <c r="U124" s="122">
        <v>156706</v>
      </c>
      <c r="V124" s="35"/>
      <c r="W124" s="99">
        <f t="shared" si="133"/>
        <v>35138</v>
      </c>
      <c r="X124" s="100">
        <f t="shared" si="134"/>
        <v>63.190600000000003</v>
      </c>
      <c r="Y124" s="100">
        <f t="shared" si="135"/>
        <v>19.012499999999999</v>
      </c>
      <c r="Z124" s="22">
        <f t="shared" si="136"/>
        <v>8195</v>
      </c>
      <c r="AA124" s="35">
        <f t="shared" si="137"/>
        <v>0</v>
      </c>
      <c r="AB124" s="22">
        <f t="shared" si="138"/>
        <v>7</v>
      </c>
      <c r="AC124" s="120">
        <f>ROUND(I124+mwreg!$G$18/100,3)</f>
        <v>-0.36599999999999999</v>
      </c>
      <c r="AD124" s="106">
        <f>ROUND(J124+mwreg!$G$18/100,3)</f>
        <v>0.434</v>
      </c>
      <c r="AE124" s="106">
        <f>ROUND(K124+mwreg!$G$18/100,3)</f>
        <v>2.9000000000000001E-2</v>
      </c>
      <c r="AF124" s="100">
        <f t="shared" si="97"/>
        <v>0.13070000000000001</v>
      </c>
      <c r="AG124" s="100">
        <f t="shared" si="98"/>
        <v>1.8E-3</v>
      </c>
      <c r="AH124" s="100">
        <f t="shared" si="112"/>
        <v>2E-3</v>
      </c>
      <c r="AI124" s="22">
        <f t="shared" si="113"/>
        <v>180</v>
      </c>
      <c r="AJ124" s="22">
        <f t="shared" si="114"/>
        <v>60</v>
      </c>
      <c r="AK124" s="106">
        <f t="shared" si="115"/>
        <v>1E-3</v>
      </c>
      <c r="AL124" s="22">
        <f t="shared" si="116"/>
        <v>3</v>
      </c>
      <c r="AM124" s="22">
        <f t="shared" si="117"/>
        <v>1500</v>
      </c>
      <c r="AN124" s="106">
        <f t="shared" si="118"/>
        <v>0.1</v>
      </c>
      <c r="AO124" s="184">
        <f t="shared" si="151"/>
        <v>156706</v>
      </c>
    </row>
    <row r="125" spans="1:41" x14ac:dyDescent="0.2">
      <c r="A125" s="3" t="s">
        <v>296</v>
      </c>
      <c r="B125" s="3" t="s">
        <v>296</v>
      </c>
      <c r="C125" s="55">
        <v>35138</v>
      </c>
      <c r="D125" s="79">
        <v>63.190600000000003</v>
      </c>
      <c r="E125" s="79">
        <v>19.012499999999999</v>
      </c>
      <c r="F125" s="14">
        <v>8195</v>
      </c>
      <c r="G125" s="10">
        <v>0</v>
      </c>
      <c r="H125" s="122">
        <v>8</v>
      </c>
      <c r="I125" s="165">
        <v>-0.39200000000000002</v>
      </c>
      <c r="J125" s="11">
        <v>0.46</v>
      </c>
      <c r="K125" s="11">
        <v>2.5999999999999999E-2</v>
      </c>
      <c r="L125" s="79">
        <v>0.1152</v>
      </c>
      <c r="M125" s="79">
        <v>6.9199999999999998E-2</v>
      </c>
      <c r="N125" s="79">
        <v>7.0000000000000007E-2</v>
      </c>
      <c r="O125" s="14">
        <v>180</v>
      </c>
      <c r="P125" s="14">
        <v>60</v>
      </c>
      <c r="Q125" s="11">
        <v>1E-3</v>
      </c>
      <c r="R125" s="14">
        <v>3</v>
      </c>
      <c r="S125" s="14">
        <v>1500</v>
      </c>
      <c r="T125" s="11">
        <v>0.1</v>
      </c>
      <c r="U125" s="122">
        <v>163916</v>
      </c>
      <c r="V125" s="35"/>
      <c r="W125" s="99">
        <f t="shared" si="133"/>
        <v>35138</v>
      </c>
      <c r="X125" s="100">
        <f t="shared" si="134"/>
        <v>63.190600000000003</v>
      </c>
      <c r="Y125" s="100">
        <f t="shared" si="135"/>
        <v>19.012499999999999</v>
      </c>
      <c r="Z125" s="22">
        <f t="shared" si="136"/>
        <v>8195</v>
      </c>
      <c r="AA125" s="35">
        <f t="shared" si="137"/>
        <v>0</v>
      </c>
      <c r="AB125" s="22">
        <f t="shared" si="138"/>
        <v>8</v>
      </c>
      <c r="AC125" s="120">
        <f>ROUND(I125+mwreg!$G$18/100,3)</f>
        <v>-0.39600000000000002</v>
      </c>
      <c r="AD125" s="106">
        <f>ROUND(J125+mwreg!$G$18/100,3)</f>
        <v>0.45600000000000002</v>
      </c>
      <c r="AE125" s="106">
        <f>ROUND(K125+mwreg!$G$18/100,3)</f>
        <v>2.1999999999999999E-2</v>
      </c>
      <c r="AF125" s="100">
        <f t="shared" si="97"/>
        <v>0.1152</v>
      </c>
      <c r="AG125" s="100">
        <f t="shared" si="98"/>
        <v>6.9199999999999998E-2</v>
      </c>
      <c r="AH125" s="100">
        <f t="shared" si="112"/>
        <v>7.0000000000000007E-2</v>
      </c>
      <c r="AI125" s="22">
        <f t="shared" si="113"/>
        <v>180</v>
      </c>
      <c r="AJ125" s="22">
        <f t="shared" si="114"/>
        <v>60</v>
      </c>
      <c r="AK125" s="106">
        <f t="shared" si="115"/>
        <v>1E-3</v>
      </c>
      <c r="AL125" s="22">
        <f t="shared" si="116"/>
        <v>3</v>
      </c>
      <c r="AM125" s="22">
        <f t="shared" si="117"/>
        <v>1500</v>
      </c>
      <c r="AN125" s="106">
        <f t="shared" si="118"/>
        <v>0.1</v>
      </c>
      <c r="AO125" s="184">
        <f t="shared" si="151"/>
        <v>163916</v>
      </c>
    </row>
    <row r="126" spans="1:41" x14ac:dyDescent="0.2">
      <c r="A126" s="3" t="s">
        <v>296</v>
      </c>
      <c r="B126" s="3" t="s">
        <v>296</v>
      </c>
      <c r="C126" s="55">
        <v>35138</v>
      </c>
      <c r="D126" s="79">
        <v>63.190600000000003</v>
      </c>
      <c r="E126" s="79">
        <v>19.012499999999999</v>
      </c>
      <c r="F126" s="14">
        <v>8195</v>
      </c>
      <c r="G126" s="10">
        <v>0</v>
      </c>
      <c r="H126" s="122">
        <v>9</v>
      </c>
      <c r="I126" s="165">
        <v>-0.51200000000000001</v>
      </c>
      <c r="J126" s="11">
        <v>0.57399999999999995</v>
      </c>
      <c r="K126" s="11">
        <v>0.1</v>
      </c>
      <c r="L126" s="79">
        <v>0.14130000000000001</v>
      </c>
      <c r="M126" s="79">
        <v>9.5999999999999992E-3</v>
      </c>
      <c r="N126" s="79">
        <v>0.01</v>
      </c>
      <c r="O126" s="14">
        <v>180</v>
      </c>
      <c r="P126" s="14">
        <v>60</v>
      </c>
      <c r="Q126" s="11">
        <v>1E-3</v>
      </c>
      <c r="R126" s="14">
        <v>3</v>
      </c>
      <c r="S126" s="14">
        <v>1500</v>
      </c>
      <c r="T126" s="11">
        <v>0.1</v>
      </c>
      <c r="U126" s="122">
        <v>159644</v>
      </c>
      <c r="V126" s="35"/>
      <c r="W126" s="99">
        <f t="shared" si="133"/>
        <v>35138</v>
      </c>
      <c r="X126" s="100">
        <f t="shared" si="134"/>
        <v>63.190600000000003</v>
      </c>
      <c r="Y126" s="100">
        <f t="shared" si="135"/>
        <v>19.012499999999999</v>
      </c>
      <c r="Z126" s="22">
        <f t="shared" si="136"/>
        <v>8195</v>
      </c>
      <c r="AA126" s="35">
        <f t="shared" si="137"/>
        <v>0</v>
      </c>
      <c r="AB126" s="22">
        <f t="shared" si="138"/>
        <v>9</v>
      </c>
      <c r="AC126" s="120">
        <f>ROUND(I126+mwreg!$G$18/100,3)</f>
        <v>-0.51600000000000001</v>
      </c>
      <c r="AD126" s="106">
        <f>ROUND(J126+mwreg!$G$18/100,3)</f>
        <v>0.56999999999999995</v>
      </c>
      <c r="AE126" s="106">
        <f>ROUND(K126+mwreg!$G$18/100,3)</f>
        <v>9.6000000000000002E-2</v>
      </c>
      <c r="AF126" s="100">
        <f t="shared" si="97"/>
        <v>0.14130000000000001</v>
      </c>
      <c r="AG126" s="100">
        <f t="shared" si="98"/>
        <v>9.5999999999999992E-3</v>
      </c>
      <c r="AH126" s="100">
        <f t="shared" si="112"/>
        <v>0.01</v>
      </c>
      <c r="AI126" s="22">
        <f t="shared" si="113"/>
        <v>180</v>
      </c>
      <c r="AJ126" s="22">
        <f t="shared" si="114"/>
        <v>60</v>
      </c>
      <c r="AK126" s="106">
        <f t="shared" si="115"/>
        <v>1E-3</v>
      </c>
      <c r="AL126" s="22">
        <f t="shared" si="116"/>
        <v>3</v>
      </c>
      <c r="AM126" s="22">
        <f t="shared" si="117"/>
        <v>1500</v>
      </c>
      <c r="AN126" s="106">
        <f t="shared" si="118"/>
        <v>0.1</v>
      </c>
      <c r="AO126" s="184">
        <f t="shared" si="151"/>
        <v>159644</v>
      </c>
    </row>
    <row r="127" spans="1:41" x14ac:dyDescent="0.2">
      <c r="A127" s="3" t="s">
        <v>296</v>
      </c>
      <c r="B127" s="3" t="s">
        <v>296</v>
      </c>
      <c r="C127" s="55">
        <v>35138</v>
      </c>
      <c r="D127" s="79">
        <v>63.190600000000003</v>
      </c>
      <c r="E127" s="79">
        <v>19.012499999999999</v>
      </c>
      <c r="F127" s="14">
        <v>8195</v>
      </c>
      <c r="G127" s="10">
        <v>0</v>
      </c>
      <c r="H127" s="122">
        <v>10</v>
      </c>
      <c r="I127" s="165">
        <v>-0.65900000000000003</v>
      </c>
      <c r="J127" s="11">
        <v>0.67200000000000004</v>
      </c>
      <c r="K127" s="11">
        <v>0.09</v>
      </c>
      <c r="L127" s="79">
        <v>0.18629999999999999</v>
      </c>
      <c r="M127" s="79">
        <v>6.1000000000000004E-3</v>
      </c>
      <c r="N127" s="79">
        <v>6.4999999999999997E-3</v>
      </c>
      <c r="O127" s="14">
        <v>180</v>
      </c>
      <c r="P127" s="14">
        <v>60</v>
      </c>
      <c r="Q127" s="11">
        <v>1E-3</v>
      </c>
      <c r="R127" s="14">
        <v>3</v>
      </c>
      <c r="S127" s="14">
        <v>1500</v>
      </c>
      <c r="T127" s="11">
        <v>0.1</v>
      </c>
      <c r="U127" s="122">
        <v>165668</v>
      </c>
      <c r="V127" s="35"/>
      <c r="W127" s="99">
        <f t="shared" si="133"/>
        <v>35138</v>
      </c>
      <c r="X127" s="100">
        <f t="shared" si="134"/>
        <v>63.190600000000003</v>
      </c>
      <c r="Y127" s="100">
        <f t="shared" si="135"/>
        <v>19.012499999999999</v>
      </c>
      <c r="Z127" s="22">
        <f t="shared" si="136"/>
        <v>8195</v>
      </c>
      <c r="AA127" s="35">
        <f t="shared" si="137"/>
        <v>0</v>
      </c>
      <c r="AB127" s="22">
        <f t="shared" si="138"/>
        <v>10</v>
      </c>
      <c r="AC127" s="120">
        <f>ROUND(I127+mwreg!$G$18/100,3)</f>
        <v>-0.66300000000000003</v>
      </c>
      <c r="AD127" s="106">
        <f>ROUND(J127+mwreg!$G$18/100,3)</f>
        <v>0.66800000000000004</v>
      </c>
      <c r="AE127" s="106">
        <f>ROUND(K127+mwreg!$G$18/100,3)</f>
        <v>8.5999999999999993E-2</v>
      </c>
      <c r="AF127" s="100">
        <f t="shared" si="97"/>
        <v>0.18629999999999999</v>
      </c>
      <c r="AG127" s="100">
        <f t="shared" si="98"/>
        <v>6.1000000000000004E-3</v>
      </c>
      <c r="AH127" s="100">
        <f t="shared" si="112"/>
        <v>6.4999999999999997E-3</v>
      </c>
      <c r="AI127" s="22">
        <f t="shared" si="113"/>
        <v>180</v>
      </c>
      <c r="AJ127" s="22">
        <f t="shared" si="114"/>
        <v>60</v>
      </c>
      <c r="AK127" s="106">
        <f t="shared" si="115"/>
        <v>1E-3</v>
      </c>
      <c r="AL127" s="22">
        <f t="shared" si="116"/>
        <v>3</v>
      </c>
      <c r="AM127" s="22">
        <f t="shared" si="117"/>
        <v>1500</v>
      </c>
      <c r="AN127" s="106">
        <f t="shared" si="118"/>
        <v>0.1</v>
      </c>
      <c r="AO127" s="184">
        <f t="shared" si="151"/>
        <v>165668</v>
      </c>
    </row>
    <row r="128" spans="1:41" x14ac:dyDescent="0.2">
      <c r="A128" s="3" t="s">
        <v>296</v>
      </c>
      <c r="B128" s="3" t="s">
        <v>296</v>
      </c>
      <c r="C128" s="55">
        <v>35138</v>
      </c>
      <c r="D128" s="79">
        <v>63.190600000000003</v>
      </c>
      <c r="E128" s="79">
        <v>19.012499999999999</v>
      </c>
      <c r="F128" s="14">
        <v>8195</v>
      </c>
      <c r="G128" s="10">
        <v>0</v>
      </c>
      <c r="H128" s="122">
        <v>11</v>
      </c>
      <c r="I128" s="165">
        <v>-0.56999999999999995</v>
      </c>
      <c r="J128" s="11">
        <v>0.996</v>
      </c>
      <c r="K128" s="11">
        <v>5.6000000000000001E-2</v>
      </c>
      <c r="L128" s="79">
        <v>0.22770000000000001</v>
      </c>
      <c r="M128" s="79">
        <v>4.9299999999999997E-2</v>
      </c>
      <c r="N128" s="79">
        <v>0.05</v>
      </c>
      <c r="O128" s="14">
        <v>180</v>
      </c>
      <c r="P128" s="14">
        <v>60</v>
      </c>
      <c r="Q128" s="11">
        <v>1E-3</v>
      </c>
      <c r="R128" s="14">
        <v>3</v>
      </c>
      <c r="S128" s="14">
        <v>1500</v>
      </c>
      <c r="T128" s="11">
        <v>0.1</v>
      </c>
      <c r="U128" s="122">
        <v>161144</v>
      </c>
      <c r="V128" s="35"/>
      <c r="W128" s="99">
        <f t="shared" si="133"/>
        <v>35138</v>
      </c>
      <c r="X128" s="100">
        <f t="shared" si="134"/>
        <v>63.190600000000003</v>
      </c>
      <c r="Y128" s="100">
        <f t="shared" si="135"/>
        <v>19.012499999999999</v>
      </c>
      <c r="Z128" s="22">
        <f t="shared" si="136"/>
        <v>8195</v>
      </c>
      <c r="AA128" s="35">
        <f t="shared" si="137"/>
        <v>0</v>
      </c>
      <c r="AB128" s="22">
        <f t="shared" si="138"/>
        <v>11</v>
      </c>
      <c r="AC128" s="120">
        <f>ROUND(I128+mwreg!$G$18/100,3)</f>
        <v>-0.57399999999999995</v>
      </c>
      <c r="AD128" s="106">
        <f>ROUND(J128+mwreg!$G$18/100,3)</f>
        <v>0.99199999999999999</v>
      </c>
      <c r="AE128" s="106">
        <f>ROUND(K128+mwreg!$G$18/100,3)</f>
        <v>5.1999999999999998E-2</v>
      </c>
      <c r="AF128" s="100">
        <f t="shared" si="97"/>
        <v>0.22770000000000001</v>
      </c>
      <c r="AG128" s="100">
        <f t="shared" si="98"/>
        <v>4.9299999999999997E-2</v>
      </c>
      <c r="AH128" s="100">
        <f t="shared" si="112"/>
        <v>0.05</v>
      </c>
      <c r="AI128" s="22">
        <f t="shared" si="113"/>
        <v>180</v>
      </c>
      <c r="AJ128" s="22">
        <f t="shared" si="114"/>
        <v>60</v>
      </c>
      <c r="AK128" s="106">
        <f t="shared" si="115"/>
        <v>1E-3</v>
      </c>
      <c r="AL128" s="22">
        <f t="shared" si="116"/>
        <v>3</v>
      </c>
      <c r="AM128" s="22">
        <f t="shared" si="117"/>
        <v>1500</v>
      </c>
      <c r="AN128" s="106">
        <f t="shared" si="118"/>
        <v>0.1</v>
      </c>
      <c r="AO128" s="184">
        <f t="shared" si="151"/>
        <v>161144</v>
      </c>
    </row>
    <row r="129" spans="1:41" x14ac:dyDescent="0.2">
      <c r="A129" s="3" t="s">
        <v>296</v>
      </c>
      <c r="B129" s="3" t="s">
        <v>296</v>
      </c>
      <c r="C129" s="55">
        <v>35138</v>
      </c>
      <c r="D129" s="79">
        <v>63.190600000000003</v>
      </c>
      <c r="E129" s="79">
        <v>19.012499999999999</v>
      </c>
      <c r="F129" s="14">
        <v>8195</v>
      </c>
      <c r="G129" s="10">
        <v>0</v>
      </c>
      <c r="H129" s="122">
        <v>12</v>
      </c>
      <c r="I129" s="165">
        <v>-0.75</v>
      </c>
      <c r="J129" s="11">
        <v>1.228</v>
      </c>
      <c r="K129" s="11">
        <v>0.11</v>
      </c>
      <c r="L129" s="79">
        <v>0.2276</v>
      </c>
      <c r="M129" s="79">
        <v>8.6E-3</v>
      </c>
      <c r="N129" s="79">
        <v>9.1999999999999998E-3</v>
      </c>
      <c r="O129" s="14">
        <v>180</v>
      </c>
      <c r="P129" s="14">
        <v>60</v>
      </c>
      <c r="Q129" s="11">
        <v>1E-3</v>
      </c>
      <c r="R129" s="14">
        <v>3</v>
      </c>
      <c r="S129" s="14">
        <v>1500</v>
      </c>
      <c r="T129" s="11">
        <v>0.1</v>
      </c>
      <c r="U129" s="122">
        <v>129756</v>
      </c>
      <c r="V129" s="35"/>
      <c r="W129" s="99">
        <f t="shared" si="133"/>
        <v>35138</v>
      </c>
      <c r="X129" s="100">
        <f t="shared" si="134"/>
        <v>63.190600000000003</v>
      </c>
      <c r="Y129" s="100">
        <f t="shared" si="135"/>
        <v>19.012499999999999</v>
      </c>
      <c r="Z129" s="22">
        <f t="shared" si="136"/>
        <v>8195</v>
      </c>
      <c r="AA129" s="35">
        <f t="shared" si="137"/>
        <v>0</v>
      </c>
      <c r="AB129" s="22">
        <f t="shared" si="138"/>
        <v>12</v>
      </c>
      <c r="AC129" s="120">
        <f>ROUND(I129+mwreg!$G$18/100,3)</f>
        <v>-0.754</v>
      </c>
      <c r="AD129" s="106">
        <f>ROUND(J129+mwreg!$G$18/100,3)</f>
        <v>1.224</v>
      </c>
      <c r="AE129" s="106">
        <f>ROUND(K129+mwreg!$G$18/100,3)</f>
        <v>0.106</v>
      </c>
      <c r="AF129" s="100">
        <f t="shared" si="97"/>
        <v>0.2276</v>
      </c>
      <c r="AG129" s="100">
        <f t="shared" si="98"/>
        <v>8.6E-3</v>
      </c>
      <c r="AH129" s="100">
        <f t="shared" si="112"/>
        <v>9.1999999999999998E-3</v>
      </c>
      <c r="AI129" s="22">
        <f t="shared" si="113"/>
        <v>180</v>
      </c>
      <c r="AJ129" s="22">
        <f t="shared" si="114"/>
        <v>60</v>
      </c>
      <c r="AK129" s="106">
        <f t="shared" si="115"/>
        <v>1E-3</v>
      </c>
      <c r="AL129" s="22">
        <f t="shared" si="116"/>
        <v>3</v>
      </c>
      <c r="AM129" s="22">
        <f t="shared" si="117"/>
        <v>1500</v>
      </c>
      <c r="AN129" s="106">
        <f t="shared" si="118"/>
        <v>0.1</v>
      </c>
      <c r="AO129" s="184">
        <f t="shared" si="151"/>
        <v>129756</v>
      </c>
    </row>
    <row r="130" spans="1:41" x14ac:dyDescent="0.2">
      <c r="A130" s="3" t="str">
        <f>stat_uppg!A19</f>
        <v>172/35209</v>
      </c>
      <c r="B130" s="3" t="str">
        <f>stat_uppg!B19</f>
        <v>LUNDE (SJÖV)</v>
      </c>
      <c r="C130" s="52">
        <v>35209</v>
      </c>
      <c r="D130" s="105">
        <v>62.880600000000001</v>
      </c>
      <c r="E130" s="105">
        <v>17.8764</v>
      </c>
      <c r="F130" s="20">
        <v>8195</v>
      </c>
      <c r="G130" s="18">
        <v>0</v>
      </c>
      <c r="H130" s="53">
        <v>1</v>
      </c>
      <c r="I130" s="167">
        <f t="shared" ref="I130:K141" si="166">ROUND(0.495*I118+0.505*I154,3)</f>
        <v>-0.86099999999999999</v>
      </c>
      <c r="J130" s="104">
        <f t="shared" si="166"/>
        <v>1.19</v>
      </c>
      <c r="K130" s="104">
        <f t="shared" si="166"/>
        <v>0.185</v>
      </c>
      <c r="L130" s="105">
        <f t="shared" ref="L130:N141" si="167">ROUND(0.495*L118+0.505*L154,4)</f>
        <v>0.27089999999999997</v>
      </c>
      <c r="M130" s="105">
        <f t="shared" si="167"/>
        <v>5.11E-2</v>
      </c>
      <c r="N130" s="105">
        <f t="shared" si="167"/>
        <v>5.3400000000000003E-2</v>
      </c>
      <c r="O130" s="20">
        <f>ROUND(0.495*O118+0.505*O154,0)</f>
        <v>180</v>
      </c>
      <c r="P130" s="20">
        <f>ROUND(0.495*P118+0.505*P154,0)</f>
        <v>60</v>
      </c>
      <c r="Q130" s="104">
        <f>ROUND(0.495*Q118+0.505*Q154,3)</f>
        <v>1E-3</v>
      </c>
      <c r="R130" s="20">
        <f>ROUND(0.495*R118+0.505*R154,0)</f>
        <v>3</v>
      </c>
      <c r="S130" s="20">
        <f>ROUND(0.495*S118+0.505*S154,0)</f>
        <v>1500</v>
      </c>
      <c r="T130" s="104">
        <f>ROUND(0.495*T118+0.505*T154,3)</f>
        <v>0.1</v>
      </c>
      <c r="U130" s="54" t="s">
        <v>282</v>
      </c>
      <c r="V130" s="21"/>
      <c r="W130" s="58">
        <f t="shared" si="133"/>
        <v>35209</v>
      </c>
      <c r="X130" s="102">
        <f t="shared" si="134"/>
        <v>62.880600000000001</v>
      </c>
      <c r="Y130" s="102">
        <f t="shared" si="135"/>
        <v>17.8764</v>
      </c>
      <c r="Z130" s="21">
        <f t="shared" si="136"/>
        <v>8195</v>
      </c>
      <c r="AA130" s="44">
        <f t="shared" si="137"/>
        <v>0</v>
      </c>
      <c r="AB130" s="21">
        <f t="shared" si="138"/>
        <v>1</v>
      </c>
      <c r="AC130" s="121">
        <f>ROUND(I130+mwreg!$G$19/100,3)</f>
        <v>-0.86</v>
      </c>
      <c r="AD130" s="101">
        <f>ROUND(J130+mwreg!$G$19/100,3)</f>
        <v>1.1910000000000001</v>
      </c>
      <c r="AE130" s="101">
        <f>ROUND(K130+mwreg!$G$19/100,3)</f>
        <v>0.186</v>
      </c>
      <c r="AF130" s="102">
        <f t="shared" si="97"/>
        <v>0.27089999999999997</v>
      </c>
      <c r="AG130" s="102">
        <f t="shared" si="98"/>
        <v>5.11E-2</v>
      </c>
      <c r="AH130" s="102">
        <f t="shared" si="112"/>
        <v>5.3400000000000003E-2</v>
      </c>
      <c r="AI130" s="21">
        <f t="shared" si="113"/>
        <v>180</v>
      </c>
      <c r="AJ130" s="21">
        <f t="shared" si="114"/>
        <v>60</v>
      </c>
      <c r="AK130" s="101">
        <f t="shared" si="115"/>
        <v>1E-3</v>
      </c>
      <c r="AL130" s="21">
        <f t="shared" si="116"/>
        <v>3</v>
      </c>
      <c r="AM130" s="21">
        <f t="shared" si="117"/>
        <v>1500</v>
      </c>
      <c r="AN130" s="101">
        <f t="shared" si="118"/>
        <v>0.1</v>
      </c>
      <c r="AO130" s="185" t="str">
        <f t="shared" si="151"/>
        <v>NaN</v>
      </c>
    </row>
    <row r="131" spans="1:41" x14ac:dyDescent="0.2">
      <c r="A131" s="3" t="s">
        <v>296</v>
      </c>
      <c r="B131" s="3" t="s">
        <v>296</v>
      </c>
      <c r="C131" s="52">
        <v>35209</v>
      </c>
      <c r="D131" s="105">
        <v>62.880600000000001</v>
      </c>
      <c r="E131" s="105">
        <v>17.8764</v>
      </c>
      <c r="F131" s="20">
        <v>8195</v>
      </c>
      <c r="G131" s="18">
        <v>0</v>
      </c>
      <c r="H131" s="53">
        <v>2</v>
      </c>
      <c r="I131" s="167">
        <f t="shared" si="166"/>
        <v>-0.73099999999999998</v>
      </c>
      <c r="J131" s="104">
        <f t="shared" si="166"/>
        <v>1.28</v>
      </c>
      <c r="K131" s="104">
        <f t="shared" si="166"/>
        <v>0.152</v>
      </c>
      <c r="L131" s="105">
        <f t="shared" si="167"/>
        <v>0.31319999999999998</v>
      </c>
      <c r="M131" s="105">
        <f t="shared" ref="M131:N131" si="168">ROUND(0.495*M119+0.505*M155,4)</f>
        <v>2.7099999999999999E-2</v>
      </c>
      <c r="N131" s="105">
        <f t="shared" si="168"/>
        <v>2.87E-2</v>
      </c>
      <c r="O131" s="20">
        <f t="shared" ref="O131:P131" si="169">ROUND(0.495*O119+0.505*O155,0)</f>
        <v>180</v>
      </c>
      <c r="P131" s="20">
        <f t="shared" si="169"/>
        <v>60</v>
      </c>
      <c r="Q131" s="104">
        <f t="shared" ref="Q131:Q141" si="170">ROUND(0.495*Q119+0.505*Q155,3)</f>
        <v>1E-3</v>
      </c>
      <c r="R131" s="20">
        <f t="shared" ref="R131:S131" si="171">ROUND(0.495*R119+0.505*R155,0)</f>
        <v>3</v>
      </c>
      <c r="S131" s="20">
        <f t="shared" si="171"/>
        <v>1500</v>
      </c>
      <c r="T131" s="104">
        <f t="shared" ref="T131:T141" si="172">ROUND(0.495*T119+0.505*T155,3)</f>
        <v>0.1</v>
      </c>
      <c r="U131" s="54" t="s">
        <v>282</v>
      </c>
      <c r="V131" s="21"/>
      <c r="W131" s="58">
        <f t="shared" si="133"/>
        <v>35209</v>
      </c>
      <c r="X131" s="102">
        <f t="shared" si="134"/>
        <v>62.880600000000001</v>
      </c>
      <c r="Y131" s="102">
        <f t="shared" si="135"/>
        <v>17.8764</v>
      </c>
      <c r="Z131" s="21">
        <f t="shared" si="136"/>
        <v>8195</v>
      </c>
      <c r="AA131" s="44">
        <f t="shared" si="137"/>
        <v>0</v>
      </c>
      <c r="AB131" s="21">
        <f t="shared" si="138"/>
        <v>2</v>
      </c>
      <c r="AC131" s="121">
        <f>ROUND(I131+mwreg!$G$19/100,3)</f>
        <v>-0.73</v>
      </c>
      <c r="AD131" s="101">
        <f>ROUND(J131+mwreg!$G$19/100,3)</f>
        <v>1.2809999999999999</v>
      </c>
      <c r="AE131" s="101">
        <f>ROUND(K131+mwreg!$G$19/100,3)</f>
        <v>0.153</v>
      </c>
      <c r="AF131" s="102">
        <f t="shared" si="97"/>
        <v>0.31319999999999998</v>
      </c>
      <c r="AG131" s="102">
        <f t="shared" si="98"/>
        <v>2.7099999999999999E-2</v>
      </c>
      <c r="AH131" s="102">
        <f t="shared" si="112"/>
        <v>2.87E-2</v>
      </c>
      <c r="AI131" s="21">
        <f t="shared" si="113"/>
        <v>180</v>
      </c>
      <c r="AJ131" s="21">
        <f t="shared" si="114"/>
        <v>60</v>
      </c>
      <c r="AK131" s="101">
        <f t="shared" si="115"/>
        <v>1E-3</v>
      </c>
      <c r="AL131" s="21">
        <f t="shared" si="116"/>
        <v>3</v>
      </c>
      <c r="AM131" s="21">
        <f t="shared" si="117"/>
        <v>1500</v>
      </c>
      <c r="AN131" s="101">
        <f t="shared" si="118"/>
        <v>0.1</v>
      </c>
      <c r="AO131" s="185" t="str">
        <f t="shared" si="151"/>
        <v>NaN</v>
      </c>
    </row>
    <row r="132" spans="1:41" x14ac:dyDescent="0.2">
      <c r="A132" s="3" t="s">
        <v>296</v>
      </c>
      <c r="B132" s="3" t="s">
        <v>296</v>
      </c>
      <c r="C132" s="52">
        <v>35209</v>
      </c>
      <c r="D132" s="105">
        <v>62.880600000000001</v>
      </c>
      <c r="E132" s="105">
        <v>17.8764</v>
      </c>
      <c r="F132" s="20">
        <v>8195</v>
      </c>
      <c r="G132" s="18">
        <v>0</v>
      </c>
      <c r="H132" s="53">
        <v>3</v>
      </c>
      <c r="I132" s="167">
        <f t="shared" si="166"/>
        <v>-0.71399999999999997</v>
      </c>
      <c r="J132" s="104">
        <f t="shared" si="166"/>
        <v>0.89700000000000002</v>
      </c>
      <c r="K132" s="104">
        <f t="shared" si="166"/>
        <v>6.3E-2</v>
      </c>
      <c r="L132" s="105">
        <f t="shared" si="167"/>
        <v>0.2495</v>
      </c>
      <c r="M132" s="105">
        <f t="shared" ref="M132:N132" si="173">ROUND(0.495*M120+0.505*M156,4)</f>
        <v>5.6399999999999999E-2</v>
      </c>
      <c r="N132" s="105">
        <f t="shared" si="173"/>
        <v>5.79E-2</v>
      </c>
      <c r="O132" s="20">
        <f t="shared" ref="O132:P132" si="174">ROUND(0.495*O120+0.505*O156,0)</f>
        <v>180</v>
      </c>
      <c r="P132" s="20">
        <f t="shared" si="174"/>
        <v>60</v>
      </c>
      <c r="Q132" s="104">
        <f t="shared" si="170"/>
        <v>1E-3</v>
      </c>
      <c r="R132" s="20">
        <f t="shared" ref="R132:S132" si="175">ROUND(0.495*R120+0.505*R156,0)</f>
        <v>3</v>
      </c>
      <c r="S132" s="20">
        <f t="shared" si="175"/>
        <v>1500</v>
      </c>
      <c r="T132" s="104">
        <f t="shared" si="172"/>
        <v>0.1</v>
      </c>
      <c r="U132" s="54" t="s">
        <v>282</v>
      </c>
      <c r="V132" s="21"/>
      <c r="W132" s="58">
        <f t="shared" si="133"/>
        <v>35209</v>
      </c>
      <c r="X132" s="102">
        <f t="shared" si="134"/>
        <v>62.880600000000001</v>
      </c>
      <c r="Y132" s="102">
        <f t="shared" si="135"/>
        <v>17.8764</v>
      </c>
      <c r="Z132" s="21">
        <f t="shared" si="136"/>
        <v>8195</v>
      </c>
      <c r="AA132" s="44">
        <f t="shared" si="137"/>
        <v>0</v>
      </c>
      <c r="AB132" s="21">
        <f t="shared" si="138"/>
        <v>3</v>
      </c>
      <c r="AC132" s="121">
        <f>ROUND(I132+mwreg!$G$19/100,3)</f>
        <v>-0.71299999999999997</v>
      </c>
      <c r="AD132" s="101">
        <f>ROUND(J132+mwreg!$G$19/100,3)</f>
        <v>0.89800000000000002</v>
      </c>
      <c r="AE132" s="101">
        <f>ROUND(K132+mwreg!$G$19/100,3)</f>
        <v>6.4000000000000001E-2</v>
      </c>
      <c r="AF132" s="102">
        <f t="shared" si="97"/>
        <v>0.2495</v>
      </c>
      <c r="AG132" s="102">
        <f t="shared" si="98"/>
        <v>5.6399999999999999E-2</v>
      </c>
      <c r="AH132" s="102">
        <f t="shared" si="112"/>
        <v>5.79E-2</v>
      </c>
      <c r="AI132" s="21">
        <f t="shared" si="113"/>
        <v>180</v>
      </c>
      <c r="AJ132" s="21">
        <f t="shared" si="114"/>
        <v>60</v>
      </c>
      <c r="AK132" s="101">
        <f t="shared" si="115"/>
        <v>1E-3</v>
      </c>
      <c r="AL132" s="21">
        <f t="shared" si="116"/>
        <v>3</v>
      </c>
      <c r="AM132" s="21">
        <f t="shared" si="117"/>
        <v>1500</v>
      </c>
      <c r="AN132" s="101">
        <f t="shared" si="118"/>
        <v>0.1</v>
      </c>
      <c r="AO132" s="185" t="str">
        <f t="shared" si="151"/>
        <v>NaN</v>
      </c>
    </row>
    <row r="133" spans="1:41" x14ac:dyDescent="0.2">
      <c r="A133" s="3" t="s">
        <v>296</v>
      </c>
      <c r="B133" s="3" t="s">
        <v>296</v>
      </c>
      <c r="C133" s="52">
        <v>35209</v>
      </c>
      <c r="D133" s="105">
        <v>62.880600000000001</v>
      </c>
      <c r="E133" s="105">
        <v>17.8764</v>
      </c>
      <c r="F133" s="20">
        <v>8195</v>
      </c>
      <c r="G133" s="18">
        <v>0</v>
      </c>
      <c r="H133" s="53">
        <v>4</v>
      </c>
      <c r="I133" s="167">
        <f t="shared" si="166"/>
        <v>-0.68300000000000005</v>
      </c>
      <c r="J133" s="104">
        <f t="shared" si="166"/>
        <v>0.57599999999999996</v>
      </c>
      <c r="K133" s="104">
        <f t="shared" si="166"/>
        <v>-0.105</v>
      </c>
      <c r="L133" s="105">
        <f t="shared" si="167"/>
        <v>0.18079999999999999</v>
      </c>
      <c r="M133" s="105">
        <f t="shared" ref="M133:N133" si="176">ROUND(0.495*M121+0.505*M157,4)</f>
        <v>3.6600000000000001E-2</v>
      </c>
      <c r="N133" s="105">
        <f t="shared" si="176"/>
        <v>3.7900000000000003E-2</v>
      </c>
      <c r="O133" s="20">
        <f t="shared" ref="O133:P133" si="177">ROUND(0.495*O121+0.505*O157,0)</f>
        <v>180</v>
      </c>
      <c r="P133" s="20">
        <f t="shared" si="177"/>
        <v>60</v>
      </c>
      <c r="Q133" s="104">
        <f t="shared" si="170"/>
        <v>1E-3</v>
      </c>
      <c r="R133" s="20">
        <f t="shared" ref="R133:S133" si="178">ROUND(0.495*R121+0.505*R157,0)</f>
        <v>3</v>
      </c>
      <c r="S133" s="20">
        <f t="shared" si="178"/>
        <v>1500</v>
      </c>
      <c r="T133" s="104">
        <f t="shared" si="172"/>
        <v>0.1</v>
      </c>
      <c r="U133" s="54" t="s">
        <v>282</v>
      </c>
      <c r="V133" s="21"/>
      <c r="W133" s="58">
        <f t="shared" si="133"/>
        <v>35209</v>
      </c>
      <c r="X133" s="102">
        <f t="shared" si="134"/>
        <v>62.880600000000001</v>
      </c>
      <c r="Y133" s="102">
        <f t="shared" si="135"/>
        <v>17.8764</v>
      </c>
      <c r="Z133" s="21">
        <f t="shared" si="136"/>
        <v>8195</v>
      </c>
      <c r="AA133" s="44">
        <f t="shared" si="137"/>
        <v>0</v>
      </c>
      <c r="AB133" s="21">
        <f t="shared" si="138"/>
        <v>4</v>
      </c>
      <c r="AC133" s="121">
        <f>ROUND(I133+mwreg!$G$19/100,3)</f>
        <v>-0.68200000000000005</v>
      </c>
      <c r="AD133" s="101">
        <f>ROUND(J133+mwreg!$G$19/100,3)</f>
        <v>0.57699999999999996</v>
      </c>
      <c r="AE133" s="101">
        <f>ROUND(K133+mwreg!$G$19/100,3)</f>
        <v>-0.104</v>
      </c>
      <c r="AF133" s="102">
        <f t="shared" si="97"/>
        <v>0.18079999999999999</v>
      </c>
      <c r="AG133" s="102">
        <f t="shared" si="98"/>
        <v>3.6600000000000001E-2</v>
      </c>
      <c r="AH133" s="102">
        <f t="shared" si="112"/>
        <v>3.7900000000000003E-2</v>
      </c>
      <c r="AI133" s="21">
        <f t="shared" si="113"/>
        <v>180</v>
      </c>
      <c r="AJ133" s="21">
        <f t="shared" si="114"/>
        <v>60</v>
      </c>
      <c r="AK133" s="101">
        <f t="shared" si="115"/>
        <v>1E-3</v>
      </c>
      <c r="AL133" s="21">
        <f t="shared" si="116"/>
        <v>3</v>
      </c>
      <c r="AM133" s="21">
        <f t="shared" si="117"/>
        <v>1500</v>
      </c>
      <c r="AN133" s="101">
        <f t="shared" si="118"/>
        <v>0.1</v>
      </c>
      <c r="AO133" s="185" t="str">
        <f t="shared" si="151"/>
        <v>NaN</v>
      </c>
    </row>
    <row r="134" spans="1:41" x14ac:dyDescent="0.2">
      <c r="A134" s="3" t="s">
        <v>296</v>
      </c>
      <c r="B134" s="3" t="s">
        <v>296</v>
      </c>
      <c r="C134" s="52">
        <v>35209</v>
      </c>
      <c r="D134" s="105">
        <v>62.880600000000001</v>
      </c>
      <c r="E134" s="105">
        <v>17.8764</v>
      </c>
      <c r="F134" s="20">
        <v>8195</v>
      </c>
      <c r="G134" s="18">
        <v>0</v>
      </c>
      <c r="H134" s="53">
        <v>5</v>
      </c>
      <c r="I134" s="167">
        <f t="shared" si="166"/>
        <v>-0.623</v>
      </c>
      <c r="J134" s="104">
        <f t="shared" si="166"/>
        <v>0.375</v>
      </c>
      <c r="K134" s="104">
        <f t="shared" si="166"/>
        <v>-8.5000000000000006E-2</v>
      </c>
      <c r="L134" s="105">
        <f t="shared" si="167"/>
        <v>0.1444</v>
      </c>
      <c r="M134" s="105">
        <f t="shared" ref="M134:N134" si="179">ROUND(0.495*M122+0.505*M158,4)</f>
        <v>3.8100000000000002E-2</v>
      </c>
      <c r="N134" s="105">
        <f t="shared" si="179"/>
        <v>3.9600000000000003E-2</v>
      </c>
      <c r="O134" s="20">
        <f t="shared" ref="O134:P134" si="180">ROUND(0.495*O122+0.505*O158,0)</f>
        <v>180</v>
      </c>
      <c r="P134" s="20">
        <f t="shared" si="180"/>
        <v>60</v>
      </c>
      <c r="Q134" s="104">
        <f t="shared" si="170"/>
        <v>1E-3</v>
      </c>
      <c r="R134" s="20">
        <f t="shared" ref="R134:S134" si="181">ROUND(0.495*R122+0.505*R158,0)</f>
        <v>3</v>
      </c>
      <c r="S134" s="20">
        <f t="shared" si="181"/>
        <v>1500</v>
      </c>
      <c r="T134" s="104">
        <f t="shared" si="172"/>
        <v>0.1</v>
      </c>
      <c r="U134" s="54" t="s">
        <v>282</v>
      </c>
      <c r="V134" s="21"/>
      <c r="W134" s="58">
        <f t="shared" si="133"/>
        <v>35209</v>
      </c>
      <c r="X134" s="102">
        <f t="shared" si="134"/>
        <v>62.880600000000001</v>
      </c>
      <c r="Y134" s="102">
        <f t="shared" si="135"/>
        <v>17.8764</v>
      </c>
      <c r="Z134" s="21">
        <f t="shared" si="136"/>
        <v>8195</v>
      </c>
      <c r="AA134" s="44">
        <f t="shared" si="137"/>
        <v>0</v>
      </c>
      <c r="AB134" s="21">
        <f t="shared" si="138"/>
        <v>5</v>
      </c>
      <c r="AC134" s="121">
        <f>ROUND(I134+mwreg!$G$19/100,3)</f>
        <v>-0.622</v>
      </c>
      <c r="AD134" s="101">
        <f>ROUND(J134+mwreg!$G$19/100,3)</f>
        <v>0.376</v>
      </c>
      <c r="AE134" s="101">
        <f>ROUND(K134+mwreg!$G$19/100,3)</f>
        <v>-8.4000000000000005E-2</v>
      </c>
      <c r="AF134" s="102">
        <f t="shared" si="97"/>
        <v>0.1444</v>
      </c>
      <c r="AG134" s="102">
        <f t="shared" si="98"/>
        <v>3.8100000000000002E-2</v>
      </c>
      <c r="AH134" s="102">
        <f t="shared" si="112"/>
        <v>3.9600000000000003E-2</v>
      </c>
      <c r="AI134" s="21">
        <f t="shared" si="113"/>
        <v>180</v>
      </c>
      <c r="AJ134" s="21">
        <f t="shared" si="114"/>
        <v>60</v>
      </c>
      <c r="AK134" s="101">
        <f t="shared" si="115"/>
        <v>1E-3</v>
      </c>
      <c r="AL134" s="21">
        <f t="shared" si="116"/>
        <v>3</v>
      </c>
      <c r="AM134" s="21">
        <f t="shared" si="117"/>
        <v>1500</v>
      </c>
      <c r="AN134" s="101">
        <f t="shared" si="118"/>
        <v>0.1</v>
      </c>
      <c r="AO134" s="185" t="str">
        <f t="shared" si="151"/>
        <v>NaN</v>
      </c>
    </row>
    <row r="135" spans="1:41" x14ac:dyDescent="0.2">
      <c r="A135" s="3" t="s">
        <v>296</v>
      </c>
      <c r="B135" s="3" t="s">
        <v>296</v>
      </c>
      <c r="C135" s="52">
        <v>35209</v>
      </c>
      <c r="D135" s="105">
        <v>62.880600000000001</v>
      </c>
      <c r="E135" s="105">
        <v>17.8764</v>
      </c>
      <c r="F135" s="20">
        <v>8195</v>
      </c>
      <c r="G135" s="18">
        <v>0</v>
      </c>
      <c r="H135" s="53">
        <v>6</v>
      </c>
      <c r="I135" s="167">
        <f t="shared" si="166"/>
        <v>-0.51300000000000001</v>
      </c>
      <c r="J135" s="104">
        <f t="shared" si="166"/>
        <v>0.46700000000000003</v>
      </c>
      <c r="K135" s="104">
        <f t="shared" si="166"/>
        <v>-7.8E-2</v>
      </c>
      <c r="L135" s="105">
        <f t="shared" si="167"/>
        <v>0.12870000000000001</v>
      </c>
      <c r="M135" s="105">
        <f t="shared" ref="M135:N135" si="182">ROUND(0.495*M123+0.505*M159,4)</f>
        <v>2.5600000000000001E-2</v>
      </c>
      <c r="N135" s="105">
        <f t="shared" si="182"/>
        <v>2.6800000000000001E-2</v>
      </c>
      <c r="O135" s="20">
        <f t="shared" ref="O135:P135" si="183">ROUND(0.495*O123+0.505*O159,0)</f>
        <v>180</v>
      </c>
      <c r="P135" s="20">
        <f t="shared" si="183"/>
        <v>60</v>
      </c>
      <c r="Q135" s="104">
        <f t="shared" si="170"/>
        <v>1E-3</v>
      </c>
      <c r="R135" s="20">
        <f t="shared" ref="R135:S135" si="184">ROUND(0.495*R123+0.505*R159,0)</f>
        <v>3</v>
      </c>
      <c r="S135" s="20">
        <f t="shared" si="184"/>
        <v>1500</v>
      </c>
      <c r="T135" s="104">
        <f t="shared" si="172"/>
        <v>0.1</v>
      </c>
      <c r="U135" s="54" t="s">
        <v>282</v>
      </c>
      <c r="V135" s="21"/>
      <c r="W135" s="58">
        <f t="shared" si="133"/>
        <v>35209</v>
      </c>
      <c r="X135" s="102">
        <f t="shared" si="134"/>
        <v>62.880600000000001</v>
      </c>
      <c r="Y135" s="102">
        <f t="shared" si="135"/>
        <v>17.8764</v>
      </c>
      <c r="Z135" s="21">
        <f t="shared" si="136"/>
        <v>8195</v>
      </c>
      <c r="AA135" s="44">
        <f t="shared" si="137"/>
        <v>0</v>
      </c>
      <c r="AB135" s="21">
        <f t="shared" si="138"/>
        <v>6</v>
      </c>
      <c r="AC135" s="121">
        <f>ROUND(I135+mwreg!$G$19/100,3)</f>
        <v>-0.51200000000000001</v>
      </c>
      <c r="AD135" s="101">
        <f>ROUND(J135+mwreg!$G$19/100,3)</f>
        <v>0.46800000000000003</v>
      </c>
      <c r="AE135" s="101">
        <f>ROUND(K135+mwreg!$G$19/100,3)</f>
        <v>-7.6999999999999999E-2</v>
      </c>
      <c r="AF135" s="102">
        <f t="shared" si="97"/>
        <v>0.12870000000000001</v>
      </c>
      <c r="AG135" s="102">
        <f t="shared" si="98"/>
        <v>2.5600000000000001E-2</v>
      </c>
      <c r="AH135" s="102">
        <f t="shared" si="112"/>
        <v>2.6800000000000001E-2</v>
      </c>
      <c r="AI135" s="21">
        <f t="shared" si="113"/>
        <v>180</v>
      </c>
      <c r="AJ135" s="21">
        <f t="shared" si="114"/>
        <v>60</v>
      </c>
      <c r="AK135" s="101">
        <f t="shared" si="115"/>
        <v>1E-3</v>
      </c>
      <c r="AL135" s="21">
        <f t="shared" si="116"/>
        <v>3</v>
      </c>
      <c r="AM135" s="21">
        <f t="shared" si="117"/>
        <v>1500</v>
      </c>
      <c r="AN135" s="101">
        <f t="shared" si="118"/>
        <v>0.1</v>
      </c>
      <c r="AO135" s="185" t="str">
        <f t="shared" si="151"/>
        <v>NaN</v>
      </c>
    </row>
    <row r="136" spans="1:41" x14ac:dyDescent="0.2">
      <c r="A136" s="3" t="s">
        <v>296</v>
      </c>
      <c r="B136" s="3" t="s">
        <v>296</v>
      </c>
      <c r="C136" s="52">
        <v>35209</v>
      </c>
      <c r="D136" s="105">
        <v>62.880600000000001</v>
      </c>
      <c r="E136" s="105">
        <v>17.8764</v>
      </c>
      <c r="F136" s="20">
        <v>8195</v>
      </c>
      <c r="G136" s="18">
        <v>0</v>
      </c>
      <c r="H136" s="53">
        <v>7</v>
      </c>
      <c r="I136" s="167">
        <f t="shared" si="166"/>
        <v>-0.36799999999999999</v>
      </c>
      <c r="J136" s="104">
        <f t="shared" si="166"/>
        <v>0.45800000000000002</v>
      </c>
      <c r="K136" s="104">
        <f t="shared" si="166"/>
        <v>3.4000000000000002E-2</v>
      </c>
      <c r="L136" s="105">
        <f t="shared" si="167"/>
        <v>0.12959999999999999</v>
      </c>
      <c r="M136" s="105">
        <f t="shared" ref="M136:N136" si="185">ROUND(0.495*M124+0.505*M160,4)</f>
        <v>3.2599999999999997E-2</v>
      </c>
      <c r="N136" s="105">
        <f t="shared" si="185"/>
        <v>3.3799999999999997E-2</v>
      </c>
      <c r="O136" s="20">
        <f t="shared" ref="O136:P136" si="186">ROUND(0.495*O124+0.505*O160,0)</f>
        <v>180</v>
      </c>
      <c r="P136" s="20">
        <f t="shared" si="186"/>
        <v>60</v>
      </c>
      <c r="Q136" s="104">
        <f t="shared" si="170"/>
        <v>1E-3</v>
      </c>
      <c r="R136" s="20">
        <f t="shared" ref="R136:S136" si="187">ROUND(0.495*R124+0.505*R160,0)</f>
        <v>3</v>
      </c>
      <c r="S136" s="20">
        <f t="shared" si="187"/>
        <v>1500</v>
      </c>
      <c r="T136" s="104">
        <f t="shared" si="172"/>
        <v>0.1</v>
      </c>
      <c r="U136" s="54" t="s">
        <v>282</v>
      </c>
      <c r="V136" s="21"/>
      <c r="W136" s="58">
        <f t="shared" si="133"/>
        <v>35209</v>
      </c>
      <c r="X136" s="102">
        <f t="shared" si="134"/>
        <v>62.880600000000001</v>
      </c>
      <c r="Y136" s="102">
        <f t="shared" si="135"/>
        <v>17.8764</v>
      </c>
      <c r="Z136" s="21">
        <f t="shared" si="136"/>
        <v>8195</v>
      </c>
      <c r="AA136" s="44">
        <f t="shared" si="137"/>
        <v>0</v>
      </c>
      <c r="AB136" s="21">
        <f t="shared" si="138"/>
        <v>7</v>
      </c>
      <c r="AC136" s="121">
        <f>ROUND(I136+mwreg!$G$19/100,3)</f>
        <v>-0.36699999999999999</v>
      </c>
      <c r="AD136" s="101">
        <f>ROUND(J136+mwreg!$G$19/100,3)</f>
        <v>0.45900000000000002</v>
      </c>
      <c r="AE136" s="101">
        <f>ROUND(K136+mwreg!$G$19/100,3)</f>
        <v>3.5000000000000003E-2</v>
      </c>
      <c r="AF136" s="102">
        <f t="shared" si="97"/>
        <v>0.12959999999999999</v>
      </c>
      <c r="AG136" s="102">
        <f t="shared" si="98"/>
        <v>3.2599999999999997E-2</v>
      </c>
      <c r="AH136" s="102">
        <f t="shared" si="112"/>
        <v>3.3799999999999997E-2</v>
      </c>
      <c r="AI136" s="21">
        <f t="shared" si="113"/>
        <v>180</v>
      </c>
      <c r="AJ136" s="21">
        <f t="shared" si="114"/>
        <v>60</v>
      </c>
      <c r="AK136" s="101">
        <f t="shared" si="115"/>
        <v>1E-3</v>
      </c>
      <c r="AL136" s="21">
        <f t="shared" si="116"/>
        <v>3</v>
      </c>
      <c r="AM136" s="21">
        <f t="shared" si="117"/>
        <v>1500</v>
      </c>
      <c r="AN136" s="101">
        <f t="shared" si="118"/>
        <v>0.1</v>
      </c>
      <c r="AO136" s="185" t="str">
        <f t="shared" si="151"/>
        <v>NaN</v>
      </c>
    </row>
    <row r="137" spans="1:41" x14ac:dyDescent="0.2">
      <c r="A137" s="3" t="s">
        <v>296</v>
      </c>
      <c r="B137" s="3" t="s">
        <v>296</v>
      </c>
      <c r="C137" s="52">
        <v>35209</v>
      </c>
      <c r="D137" s="105">
        <v>62.880600000000001</v>
      </c>
      <c r="E137" s="105">
        <v>17.8764</v>
      </c>
      <c r="F137" s="20">
        <v>8195</v>
      </c>
      <c r="G137" s="18">
        <v>0</v>
      </c>
      <c r="H137" s="53">
        <v>8</v>
      </c>
      <c r="I137" s="167">
        <f t="shared" si="166"/>
        <v>-0.48899999999999999</v>
      </c>
      <c r="J137" s="104">
        <f t="shared" si="166"/>
        <v>0.58599999999999997</v>
      </c>
      <c r="K137" s="104">
        <f t="shared" si="166"/>
        <v>2.5999999999999999E-2</v>
      </c>
      <c r="L137" s="105">
        <f t="shared" si="167"/>
        <v>0.1178</v>
      </c>
      <c r="M137" s="105">
        <f t="shared" ref="M137:N137" si="188">ROUND(0.495*M125+0.505*M161,4)</f>
        <v>5.74E-2</v>
      </c>
      <c r="N137" s="105">
        <f t="shared" si="188"/>
        <v>5.8900000000000001E-2</v>
      </c>
      <c r="O137" s="20">
        <f t="shared" ref="O137:P137" si="189">ROUND(0.495*O125+0.505*O161,0)</f>
        <v>180</v>
      </c>
      <c r="P137" s="20">
        <f t="shared" si="189"/>
        <v>60</v>
      </c>
      <c r="Q137" s="104">
        <f t="shared" si="170"/>
        <v>1E-3</v>
      </c>
      <c r="R137" s="20">
        <f t="shared" ref="R137:S137" si="190">ROUND(0.495*R125+0.505*R161,0)</f>
        <v>3</v>
      </c>
      <c r="S137" s="20">
        <f t="shared" si="190"/>
        <v>1500</v>
      </c>
      <c r="T137" s="104">
        <f t="shared" si="172"/>
        <v>0.1</v>
      </c>
      <c r="U137" s="54" t="s">
        <v>282</v>
      </c>
      <c r="V137" s="21"/>
      <c r="W137" s="58">
        <f t="shared" si="133"/>
        <v>35209</v>
      </c>
      <c r="X137" s="102">
        <f t="shared" si="134"/>
        <v>62.880600000000001</v>
      </c>
      <c r="Y137" s="102">
        <f t="shared" si="135"/>
        <v>17.8764</v>
      </c>
      <c r="Z137" s="21">
        <f t="shared" si="136"/>
        <v>8195</v>
      </c>
      <c r="AA137" s="44">
        <f t="shared" si="137"/>
        <v>0</v>
      </c>
      <c r="AB137" s="21">
        <f t="shared" si="138"/>
        <v>8</v>
      </c>
      <c r="AC137" s="121">
        <f>ROUND(I137+mwreg!$G$19/100,3)</f>
        <v>-0.48799999999999999</v>
      </c>
      <c r="AD137" s="101">
        <f>ROUND(J137+mwreg!$G$19/100,3)</f>
        <v>0.58699999999999997</v>
      </c>
      <c r="AE137" s="101">
        <f>ROUND(K137+mwreg!$G$19/100,3)</f>
        <v>2.7E-2</v>
      </c>
      <c r="AF137" s="102">
        <f t="shared" si="97"/>
        <v>0.1178</v>
      </c>
      <c r="AG137" s="102">
        <f t="shared" si="98"/>
        <v>5.74E-2</v>
      </c>
      <c r="AH137" s="102">
        <f t="shared" si="112"/>
        <v>5.8900000000000001E-2</v>
      </c>
      <c r="AI137" s="21">
        <f t="shared" si="113"/>
        <v>180</v>
      </c>
      <c r="AJ137" s="21">
        <f t="shared" si="114"/>
        <v>60</v>
      </c>
      <c r="AK137" s="101">
        <f t="shared" si="115"/>
        <v>1E-3</v>
      </c>
      <c r="AL137" s="21">
        <f t="shared" si="116"/>
        <v>3</v>
      </c>
      <c r="AM137" s="21">
        <f t="shared" si="117"/>
        <v>1500</v>
      </c>
      <c r="AN137" s="101">
        <f t="shared" si="118"/>
        <v>0.1</v>
      </c>
      <c r="AO137" s="185" t="str">
        <f t="shared" si="151"/>
        <v>NaN</v>
      </c>
    </row>
    <row r="138" spans="1:41" x14ac:dyDescent="0.2">
      <c r="A138" s="3" t="s">
        <v>296</v>
      </c>
      <c r="B138" s="3" t="s">
        <v>296</v>
      </c>
      <c r="C138" s="52">
        <v>35209</v>
      </c>
      <c r="D138" s="105">
        <v>62.880600000000001</v>
      </c>
      <c r="E138" s="105">
        <v>17.8764</v>
      </c>
      <c r="F138" s="20">
        <v>8195</v>
      </c>
      <c r="G138" s="18">
        <v>0</v>
      </c>
      <c r="H138" s="53">
        <v>9</v>
      </c>
      <c r="I138" s="167">
        <f t="shared" si="166"/>
        <v>-0.59299999999999997</v>
      </c>
      <c r="J138" s="104">
        <f t="shared" si="166"/>
        <v>0.60199999999999998</v>
      </c>
      <c r="K138" s="104">
        <f t="shared" si="166"/>
        <v>8.3000000000000004E-2</v>
      </c>
      <c r="L138" s="105">
        <f t="shared" si="167"/>
        <v>0.1472</v>
      </c>
      <c r="M138" s="105">
        <f t="shared" ref="M138:N138" si="191">ROUND(0.495*M126+0.505*M162,4)</f>
        <v>3.2099999999999997E-2</v>
      </c>
      <c r="N138" s="105">
        <f t="shared" si="191"/>
        <v>3.3700000000000001E-2</v>
      </c>
      <c r="O138" s="20">
        <f t="shared" ref="O138:P138" si="192">ROUND(0.495*O126+0.505*O162,0)</f>
        <v>180</v>
      </c>
      <c r="P138" s="20">
        <f t="shared" si="192"/>
        <v>60</v>
      </c>
      <c r="Q138" s="104">
        <f t="shared" si="170"/>
        <v>1E-3</v>
      </c>
      <c r="R138" s="20">
        <f t="shared" ref="R138:S138" si="193">ROUND(0.495*R126+0.505*R162,0)</f>
        <v>3</v>
      </c>
      <c r="S138" s="20">
        <f t="shared" si="193"/>
        <v>1500</v>
      </c>
      <c r="T138" s="104">
        <f t="shared" si="172"/>
        <v>0.1</v>
      </c>
      <c r="U138" s="54" t="s">
        <v>282</v>
      </c>
      <c r="V138" s="21"/>
      <c r="W138" s="58">
        <f t="shared" ref="W138:W157" si="194">C138</f>
        <v>35209</v>
      </c>
      <c r="X138" s="102">
        <f t="shared" ref="X138:X157" si="195">D138</f>
        <v>62.880600000000001</v>
      </c>
      <c r="Y138" s="102">
        <f t="shared" ref="Y138:Y157" si="196">E138</f>
        <v>17.8764</v>
      </c>
      <c r="Z138" s="21">
        <f t="shared" ref="Z138:Z157" si="197">F138</f>
        <v>8195</v>
      </c>
      <c r="AA138" s="44">
        <f t="shared" ref="AA138:AA157" si="198">G138</f>
        <v>0</v>
      </c>
      <c r="AB138" s="21">
        <f t="shared" ref="AB138:AB157" si="199">H138</f>
        <v>9</v>
      </c>
      <c r="AC138" s="121">
        <f>ROUND(I138+mwreg!$G$19/100,3)</f>
        <v>-0.59199999999999997</v>
      </c>
      <c r="AD138" s="101">
        <f>ROUND(J138+mwreg!$G$19/100,3)</f>
        <v>0.60299999999999998</v>
      </c>
      <c r="AE138" s="101">
        <f>ROUND(K138+mwreg!$G$19/100,3)</f>
        <v>8.4000000000000005E-2</v>
      </c>
      <c r="AF138" s="102">
        <f t="shared" si="97"/>
        <v>0.1472</v>
      </c>
      <c r="AG138" s="102">
        <f t="shared" si="98"/>
        <v>3.2099999999999997E-2</v>
      </c>
      <c r="AH138" s="102">
        <f t="shared" si="112"/>
        <v>3.3700000000000001E-2</v>
      </c>
      <c r="AI138" s="21">
        <f t="shared" si="113"/>
        <v>180</v>
      </c>
      <c r="AJ138" s="21">
        <f t="shared" si="114"/>
        <v>60</v>
      </c>
      <c r="AK138" s="101">
        <f t="shared" si="115"/>
        <v>1E-3</v>
      </c>
      <c r="AL138" s="21">
        <f t="shared" si="116"/>
        <v>3</v>
      </c>
      <c r="AM138" s="21">
        <f t="shared" si="117"/>
        <v>1500</v>
      </c>
      <c r="AN138" s="101">
        <f t="shared" si="118"/>
        <v>0.1</v>
      </c>
      <c r="AO138" s="185" t="str">
        <f t="shared" si="151"/>
        <v>NaN</v>
      </c>
    </row>
    <row r="139" spans="1:41" x14ac:dyDescent="0.2">
      <c r="A139" s="3" t="s">
        <v>296</v>
      </c>
      <c r="B139" s="3" t="s">
        <v>296</v>
      </c>
      <c r="C139" s="52">
        <v>35209</v>
      </c>
      <c r="D139" s="105">
        <v>62.880600000000001</v>
      </c>
      <c r="E139" s="105">
        <v>17.8764</v>
      </c>
      <c r="F139" s="20">
        <v>8195</v>
      </c>
      <c r="G139" s="18">
        <v>0</v>
      </c>
      <c r="H139" s="53">
        <v>10</v>
      </c>
      <c r="I139" s="167">
        <f t="shared" si="166"/>
        <v>-0.71199999999999997</v>
      </c>
      <c r="J139" s="104">
        <f t="shared" si="166"/>
        <v>0.748</v>
      </c>
      <c r="K139" s="104">
        <f t="shared" si="166"/>
        <v>7.5999999999999998E-2</v>
      </c>
      <c r="L139" s="105">
        <f t="shared" si="167"/>
        <v>0.1915</v>
      </c>
      <c r="M139" s="105">
        <f t="shared" ref="M139:N139" si="200">ROUND(0.495*M127+0.505*M163,4)</f>
        <v>2.6499999999999999E-2</v>
      </c>
      <c r="N139" s="105">
        <f t="shared" si="200"/>
        <v>2.8000000000000001E-2</v>
      </c>
      <c r="O139" s="20">
        <f t="shared" ref="O139:P139" si="201">ROUND(0.495*O127+0.505*O163,0)</f>
        <v>180</v>
      </c>
      <c r="P139" s="20">
        <f t="shared" si="201"/>
        <v>60</v>
      </c>
      <c r="Q139" s="104">
        <f t="shared" si="170"/>
        <v>1E-3</v>
      </c>
      <c r="R139" s="20">
        <f t="shared" ref="R139:S139" si="202">ROUND(0.495*R127+0.505*R163,0)</f>
        <v>3</v>
      </c>
      <c r="S139" s="20">
        <f t="shared" si="202"/>
        <v>1500</v>
      </c>
      <c r="T139" s="104">
        <f t="shared" si="172"/>
        <v>0.1</v>
      </c>
      <c r="U139" s="54" t="s">
        <v>282</v>
      </c>
      <c r="V139" s="21"/>
      <c r="W139" s="58">
        <f t="shared" si="194"/>
        <v>35209</v>
      </c>
      <c r="X139" s="102">
        <f t="shared" si="195"/>
        <v>62.880600000000001</v>
      </c>
      <c r="Y139" s="102">
        <f t="shared" si="196"/>
        <v>17.8764</v>
      </c>
      <c r="Z139" s="21">
        <f t="shared" si="197"/>
        <v>8195</v>
      </c>
      <c r="AA139" s="44">
        <f t="shared" si="198"/>
        <v>0</v>
      </c>
      <c r="AB139" s="21">
        <f t="shared" si="199"/>
        <v>10</v>
      </c>
      <c r="AC139" s="121">
        <f>ROUND(I139+mwreg!$G$19/100,3)</f>
        <v>-0.71099999999999997</v>
      </c>
      <c r="AD139" s="101">
        <f>ROUND(J139+mwreg!$G$19/100,3)</f>
        <v>0.749</v>
      </c>
      <c r="AE139" s="101">
        <f>ROUND(K139+mwreg!$G$19/100,3)</f>
        <v>7.6999999999999999E-2</v>
      </c>
      <c r="AF139" s="102">
        <f t="shared" ref="AF139:AF190" si="203">L139</f>
        <v>0.1915</v>
      </c>
      <c r="AG139" s="102">
        <f t="shared" ref="AG139:AG190" si="204">M139</f>
        <v>2.6499999999999999E-2</v>
      </c>
      <c r="AH139" s="102">
        <f t="shared" si="112"/>
        <v>2.8000000000000001E-2</v>
      </c>
      <c r="AI139" s="21">
        <f t="shared" si="113"/>
        <v>180</v>
      </c>
      <c r="AJ139" s="21">
        <f t="shared" si="114"/>
        <v>60</v>
      </c>
      <c r="AK139" s="101">
        <f t="shared" si="115"/>
        <v>1E-3</v>
      </c>
      <c r="AL139" s="21">
        <f t="shared" si="116"/>
        <v>3</v>
      </c>
      <c r="AM139" s="21">
        <f t="shared" si="117"/>
        <v>1500</v>
      </c>
      <c r="AN139" s="101">
        <f t="shared" si="118"/>
        <v>0.1</v>
      </c>
      <c r="AO139" s="185" t="str">
        <f t="shared" si="151"/>
        <v>NaN</v>
      </c>
    </row>
    <row r="140" spans="1:41" x14ac:dyDescent="0.2">
      <c r="A140" s="3" t="s">
        <v>296</v>
      </c>
      <c r="B140" s="3" t="s">
        <v>296</v>
      </c>
      <c r="C140" s="52">
        <v>35209</v>
      </c>
      <c r="D140" s="105">
        <v>62.880600000000001</v>
      </c>
      <c r="E140" s="105">
        <v>17.8764</v>
      </c>
      <c r="F140" s="20">
        <v>8195</v>
      </c>
      <c r="G140" s="18">
        <v>0</v>
      </c>
      <c r="H140" s="53">
        <v>11</v>
      </c>
      <c r="I140" s="167">
        <f t="shared" si="166"/>
        <v>-0.75600000000000001</v>
      </c>
      <c r="J140" s="104">
        <f t="shared" si="166"/>
        <v>0.97099999999999997</v>
      </c>
      <c r="K140" s="104">
        <f t="shared" si="166"/>
        <v>5.8000000000000003E-2</v>
      </c>
      <c r="L140" s="105">
        <f t="shared" si="167"/>
        <v>0.22409999999999999</v>
      </c>
      <c r="M140" s="105">
        <f t="shared" ref="M140:N140" si="205">ROUND(0.495*M128+0.505*M164,4)</f>
        <v>4.6600000000000003E-2</v>
      </c>
      <c r="N140" s="105">
        <f t="shared" si="205"/>
        <v>4.8500000000000001E-2</v>
      </c>
      <c r="O140" s="20">
        <f t="shared" ref="O140:P140" si="206">ROUND(0.495*O128+0.505*O164,0)</f>
        <v>180</v>
      </c>
      <c r="P140" s="20">
        <f t="shared" si="206"/>
        <v>60</v>
      </c>
      <c r="Q140" s="104">
        <f t="shared" si="170"/>
        <v>1E-3</v>
      </c>
      <c r="R140" s="20">
        <f t="shared" ref="R140:S140" si="207">ROUND(0.495*R128+0.505*R164,0)</f>
        <v>3</v>
      </c>
      <c r="S140" s="20">
        <f t="shared" si="207"/>
        <v>1500</v>
      </c>
      <c r="T140" s="104">
        <f t="shared" si="172"/>
        <v>0.1</v>
      </c>
      <c r="U140" s="54" t="s">
        <v>282</v>
      </c>
      <c r="V140" s="21"/>
      <c r="W140" s="58">
        <f t="shared" si="194"/>
        <v>35209</v>
      </c>
      <c r="X140" s="102">
        <f t="shared" si="195"/>
        <v>62.880600000000001</v>
      </c>
      <c r="Y140" s="102">
        <f t="shared" si="196"/>
        <v>17.8764</v>
      </c>
      <c r="Z140" s="21">
        <f t="shared" si="197"/>
        <v>8195</v>
      </c>
      <c r="AA140" s="44">
        <f t="shared" si="198"/>
        <v>0</v>
      </c>
      <c r="AB140" s="21">
        <f t="shared" si="199"/>
        <v>11</v>
      </c>
      <c r="AC140" s="121">
        <f>ROUND(I140+mwreg!$G$19/100,3)</f>
        <v>-0.755</v>
      </c>
      <c r="AD140" s="101">
        <f>ROUND(J140+mwreg!$G$19/100,3)</f>
        <v>0.97199999999999998</v>
      </c>
      <c r="AE140" s="101">
        <f>ROUND(K140+mwreg!$G$19/100,3)</f>
        <v>5.8999999999999997E-2</v>
      </c>
      <c r="AF140" s="102">
        <f t="shared" si="203"/>
        <v>0.22409999999999999</v>
      </c>
      <c r="AG140" s="102">
        <f t="shared" si="204"/>
        <v>4.6600000000000003E-2</v>
      </c>
      <c r="AH140" s="102">
        <f t="shared" si="112"/>
        <v>4.8500000000000001E-2</v>
      </c>
      <c r="AI140" s="21">
        <f t="shared" si="113"/>
        <v>180</v>
      </c>
      <c r="AJ140" s="21">
        <f t="shared" si="114"/>
        <v>60</v>
      </c>
      <c r="AK140" s="101">
        <f t="shared" si="115"/>
        <v>1E-3</v>
      </c>
      <c r="AL140" s="21">
        <f t="shared" si="116"/>
        <v>3</v>
      </c>
      <c r="AM140" s="21">
        <f t="shared" si="117"/>
        <v>1500</v>
      </c>
      <c r="AN140" s="101">
        <f t="shared" si="118"/>
        <v>0.1</v>
      </c>
      <c r="AO140" s="185" t="str">
        <f t="shared" si="151"/>
        <v>NaN</v>
      </c>
    </row>
    <row r="141" spans="1:41" x14ac:dyDescent="0.2">
      <c r="A141" s="3" t="s">
        <v>296</v>
      </c>
      <c r="B141" s="3" t="s">
        <v>296</v>
      </c>
      <c r="C141" s="52">
        <v>35209</v>
      </c>
      <c r="D141" s="105">
        <v>62.880600000000001</v>
      </c>
      <c r="E141" s="105">
        <v>17.8764</v>
      </c>
      <c r="F141" s="20">
        <v>8195</v>
      </c>
      <c r="G141" s="18">
        <v>0</v>
      </c>
      <c r="H141" s="53">
        <v>12</v>
      </c>
      <c r="I141" s="167">
        <f t="shared" si="166"/>
        <v>-0.74199999999999999</v>
      </c>
      <c r="J141" s="104">
        <f t="shared" si="166"/>
        <v>1.216</v>
      </c>
      <c r="K141" s="104">
        <f t="shared" si="166"/>
        <v>0.113</v>
      </c>
      <c r="L141" s="105">
        <f t="shared" si="167"/>
        <v>0.2324</v>
      </c>
      <c r="M141" s="105">
        <f t="shared" ref="M141:N141" si="208">ROUND(0.495*M129+0.505*M165,4)</f>
        <v>2.7E-2</v>
      </c>
      <c r="N141" s="105">
        <f t="shared" si="208"/>
        <v>2.8799999999999999E-2</v>
      </c>
      <c r="O141" s="20">
        <f t="shared" ref="O141:P141" si="209">ROUND(0.495*O129+0.505*O165,0)</f>
        <v>180</v>
      </c>
      <c r="P141" s="20">
        <f t="shared" si="209"/>
        <v>60</v>
      </c>
      <c r="Q141" s="104">
        <f t="shared" si="170"/>
        <v>1E-3</v>
      </c>
      <c r="R141" s="20">
        <f t="shared" ref="R141:S141" si="210">ROUND(0.495*R129+0.505*R165,0)</f>
        <v>3</v>
      </c>
      <c r="S141" s="20">
        <f t="shared" si="210"/>
        <v>1500</v>
      </c>
      <c r="T141" s="104">
        <f t="shared" si="172"/>
        <v>0.1</v>
      </c>
      <c r="U141" s="54" t="s">
        <v>282</v>
      </c>
      <c r="V141" s="21"/>
      <c r="W141" s="58">
        <f t="shared" si="194"/>
        <v>35209</v>
      </c>
      <c r="X141" s="102">
        <f t="shared" si="195"/>
        <v>62.880600000000001</v>
      </c>
      <c r="Y141" s="102">
        <f t="shared" si="196"/>
        <v>17.8764</v>
      </c>
      <c r="Z141" s="21">
        <f t="shared" si="197"/>
        <v>8195</v>
      </c>
      <c r="AA141" s="44">
        <f t="shared" si="198"/>
        <v>0</v>
      </c>
      <c r="AB141" s="21">
        <f t="shared" si="199"/>
        <v>12</v>
      </c>
      <c r="AC141" s="121">
        <f>ROUND(I141+mwreg!$G$19/100,3)</f>
        <v>-0.74099999999999999</v>
      </c>
      <c r="AD141" s="101">
        <f>ROUND(J141+mwreg!$G$19/100,3)</f>
        <v>1.2170000000000001</v>
      </c>
      <c r="AE141" s="101">
        <f>ROUND(K141+mwreg!$G$19/100,3)</f>
        <v>0.114</v>
      </c>
      <c r="AF141" s="102">
        <f t="shared" si="203"/>
        <v>0.2324</v>
      </c>
      <c r="AG141" s="102">
        <f t="shared" si="204"/>
        <v>2.7E-2</v>
      </c>
      <c r="AH141" s="102">
        <f t="shared" si="112"/>
        <v>2.8799999999999999E-2</v>
      </c>
      <c r="AI141" s="21">
        <f t="shared" si="113"/>
        <v>180</v>
      </c>
      <c r="AJ141" s="21">
        <f t="shared" si="114"/>
        <v>60</v>
      </c>
      <c r="AK141" s="101">
        <f t="shared" si="115"/>
        <v>1E-3</v>
      </c>
      <c r="AL141" s="21">
        <f t="shared" si="116"/>
        <v>3</v>
      </c>
      <c r="AM141" s="21">
        <f t="shared" si="117"/>
        <v>1500</v>
      </c>
      <c r="AN141" s="101">
        <f t="shared" si="118"/>
        <v>0.1</v>
      </c>
      <c r="AO141" s="185" t="str">
        <f t="shared" si="151"/>
        <v>NaN</v>
      </c>
    </row>
    <row r="142" spans="1:41" x14ac:dyDescent="0.2">
      <c r="A142" s="3" t="str">
        <f>stat_uppg!A20</f>
        <v>2062/33074</v>
      </c>
      <c r="B142" s="3" t="str">
        <f>stat_uppg!B20</f>
        <v>Draghällan (SMHI) nedlagd</v>
      </c>
      <c r="C142" s="52">
        <v>2062</v>
      </c>
      <c r="D142" s="105">
        <v>62.333300000000001</v>
      </c>
      <c r="E142" s="105">
        <v>17.466699999999999</v>
      </c>
      <c r="F142" s="20">
        <v>8195</v>
      </c>
      <c r="G142" s="18">
        <v>0</v>
      </c>
      <c r="H142" s="53">
        <v>1</v>
      </c>
      <c r="I142" s="167">
        <f t="shared" ref="I142:K153" si="211">ROUND(I154,3)</f>
        <v>-0.877</v>
      </c>
      <c r="J142" s="104">
        <f t="shared" si="211"/>
        <v>1.27</v>
      </c>
      <c r="K142" s="104">
        <f t="shared" si="211"/>
        <v>0.153</v>
      </c>
      <c r="L142" s="105">
        <f>ROUND(L154,4)</f>
        <v>0.2792</v>
      </c>
      <c r="M142" s="105">
        <f t="shared" ref="M142:N142" si="212">ROUND(M154,4)</f>
        <v>3.8800000000000001E-2</v>
      </c>
      <c r="N142" s="105">
        <f t="shared" si="212"/>
        <v>4.2000000000000003E-2</v>
      </c>
      <c r="O142" s="20">
        <f>ROUND(O154,0)</f>
        <v>180</v>
      </c>
      <c r="P142" s="20">
        <f>ROUND(P154,0)</f>
        <v>60</v>
      </c>
      <c r="Q142" s="104">
        <f>ROUND(Q154,3)</f>
        <v>1E-3</v>
      </c>
      <c r="R142" s="20">
        <f>ROUND(R154,0)</f>
        <v>3</v>
      </c>
      <c r="S142" s="20">
        <f>ROUND(S154,0)</f>
        <v>1500</v>
      </c>
      <c r="T142" s="104">
        <f>ROUND(T154,3)</f>
        <v>0.1</v>
      </c>
      <c r="U142" s="123" t="s">
        <v>282</v>
      </c>
      <c r="V142" s="21"/>
      <c r="W142" s="58">
        <f t="shared" si="194"/>
        <v>2062</v>
      </c>
      <c r="X142" s="102">
        <f t="shared" si="195"/>
        <v>62.333300000000001</v>
      </c>
      <c r="Y142" s="102">
        <f t="shared" si="196"/>
        <v>17.466699999999999</v>
      </c>
      <c r="Z142" s="21">
        <f t="shared" si="197"/>
        <v>8195</v>
      </c>
      <c r="AA142" s="44">
        <f t="shared" si="198"/>
        <v>0</v>
      </c>
      <c r="AB142" s="21">
        <f t="shared" si="199"/>
        <v>1</v>
      </c>
      <c r="AC142" s="121">
        <f>ROUND(I142+mwreg!$G$20/100,3)</f>
        <v>-0.87</v>
      </c>
      <c r="AD142" s="101">
        <f>ROUND(J142+mwreg!$G$20/100,3)</f>
        <v>1.2769999999999999</v>
      </c>
      <c r="AE142" s="101">
        <f>ROUND(K142+mwreg!$G$20/100,3)</f>
        <v>0.16</v>
      </c>
      <c r="AF142" s="102">
        <f t="shared" si="203"/>
        <v>0.2792</v>
      </c>
      <c r="AG142" s="102">
        <f t="shared" si="204"/>
        <v>3.8800000000000001E-2</v>
      </c>
      <c r="AH142" s="102">
        <f t="shared" si="112"/>
        <v>4.2000000000000003E-2</v>
      </c>
      <c r="AI142" s="21">
        <f t="shared" si="113"/>
        <v>180</v>
      </c>
      <c r="AJ142" s="21">
        <f t="shared" si="114"/>
        <v>60</v>
      </c>
      <c r="AK142" s="101">
        <f t="shared" si="115"/>
        <v>1E-3</v>
      </c>
      <c r="AL142" s="21">
        <f t="shared" si="116"/>
        <v>3</v>
      </c>
      <c r="AM142" s="21">
        <f t="shared" si="117"/>
        <v>1500</v>
      </c>
      <c r="AN142" s="101">
        <f t="shared" si="118"/>
        <v>0.1</v>
      </c>
      <c r="AO142" s="185" t="str">
        <f t="shared" si="151"/>
        <v>NaN</v>
      </c>
    </row>
    <row r="143" spans="1:41" x14ac:dyDescent="0.2">
      <c r="A143" s="3" t="s">
        <v>296</v>
      </c>
      <c r="B143" s="3" t="s">
        <v>296</v>
      </c>
      <c r="C143" s="52">
        <v>2062</v>
      </c>
      <c r="D143" s="105">
        <v>62.333300000000001</v>
      </c>
      <c r="E143" s="105">
        <v>17.466699999999999</v>
      </c>
      <c r="F143" s="20">
        <v>8195</v>
      </c>
      <c r="G143" s="18">
        <v>0</v>
      </c>
      <c r="H143" s="53">
        <v>2</v>
      </c>
      <c r="I143" s="167">
        <f t="shared" si="211"/>
        <v>-0.73199999999999998</v>
      </c>
      <c r="J143" s="104">
        <f t="shared" si="211"/>
        <v>1.2529999999999999</v>
      </c>
      <c r="K143" s="104">
        <f t="shared" si="211"/>
        <v>0.09</v>
      </c>
      <c r="L143" s="105">
        <f t="shared" ref="L143:N153" si="213">ROUND(L155,4)</f>
        <v>0.3039</v>
      </c>
      <c r="M143" s="105">
        <f t="shared" si="213"/>
        <v>4.4299999999999999E-2</v>
      </c>
      <c r="N143" s="105">
        <f t="shared" si="213"/>
        <v>4.7E-2</v>
      </c>
      <c r="O143" s="20">
        <f t="shared" ref="O143:P143" si="214">ROUND(O155,0)</f>
        <v>180</v>
      </c>
      <c r="P143" s="20">
        <f t="shared" si="214"/>
        <v>60</v>
      </c>
      <c r="Q143" s="104">
        <f t="shared" ref="Q143:Q153" si="215">ROUND(Q155,3)</f>
        <v>1E-3</v>
      </c>
      <c r="R143" s="20">
        <f t="shared" ref="R143:S143" si="216">ROUND(R155,0)</f>
        <v>3</v>
      </c>
      <c r="S143" s="20">
        <f t="shared" si="216"/>
        <v>1500</v>
      </c>
      <c r="T143" s="104">
        <f t="shared" ref="T143:T153" si="217">ROUND(T155,3)</f>
        <v>0.1</v>
      </c>
      <c r="U143" s="123" t="s">
        <v>282</v>
      </c>
      <c r="V143" s="21"/>
      <c r="W143" s="58">
        <f t="shared" si="194"/>
        <v>2062</v>
      </c>
      <c r="X143" s="102">
        <f t="shared" si="195"/>
        <v>62.333300000000001</v>
      </c>
      <c r="Y143" s="102">
        <f t="shared" si="196"/>
        <v>17.466699999999999</v>
      </c>
      <c r="Z143" s="21">
        <f t="shared" si="197"/>
        <v>8195</v>
      </c>
      <c r="AA143" s="44">
        <f t="shared" si="198"/>
        <v>0</v>
      </c>
      <c r="AB143" s="21">
        <f t="shared" si="199"/>
        <v>2</v>
      </c>
      <c r="AC143" s="121">
        <f>ROUND(I143+mwreg!$G$20/100,3)</f>
        <v>-0.72499999999999998</v>
      </c>
      <c r="AD143" s="101">
        <f>ROUND(J143+mwreg!$G$20/100,3)</f>
        <v>1.26</v>
      </c>
      <c r="AE143" s="101">
        <f>ROUND(K143+mwreg!$G$20/100,3)</f>
        <v>9.7000000000000003E-2</v>
      </c>
      <c r="AF143" s="102">
        <f t="shared" si="203"/>
        <v>0.3039</v>
      </c>
      <c r="AG143" s="102">
        <f t="shared" si="204"/>
        <v>4.4299999999999999E-2</v>
      </c>
      <c r="AH143" s="102">
        <f t="shared" si="112"/>
        <v>4.7E-2</v>
      </c>
      <c r="AI143" s="21">
        <f t="shared" si="113"/>
        <v>180</v>
      </c>
      <c r="AJ143" s="21">
        <f t="shared" si="114"/>
        <v>60</v>
      </c>
      <c r="AK143" s="101">
        <f t="shared" si="115"/>
        <v>1E-3</v>
      </c>
      <c r="AL143" s="21">
        <f t="shared" si="116"/>
        <v>3</v>
      </c>
      <c r="AM143" s="21">
        <f t="shared" si="117"/>
        <v>1500</v>
      </c>
      <c r="AN143" s="101">
        <f t="shared" si="118"/>
        <v>0.1</v>
      </c>
      <c r="AO143" s="185" t="str">
        <f t="shared" si="151"/>
        <v>NaN</v>
      </c>
    </row>
    <row r="144" spans="1:41" x14ac:dyDescent="0.2">
      <c r="A144" s="3" t="s">
        <v>296</v>
      </c>
      <c r="B144" s="3" t="s">
        <v>296</v>
      </c>
      <c r="C144" s="52">
        <v>2062</v>
      </c>
      <c r="D144" s="105">
        <v>62.333300000000001</v>
      </c>
      <c r="E144" s="105">
        <v>17.466699999999999</v>
      </c>
      <c r="F144" s="20">
        <v>8195</v>
      </c>
      <c r="G144" s="18">
        <v>0</v>
      </c>
      <c r="H144" s="53">
        <v>3</v>
      </c>
      <c r="I144" s="167">
        <f t="shared" si="211"/>
        <v>-0.75800000000000001</v>
      </c>
      <c r="J144" s="104">
        <f t="shared" si="211"/>
        <v>0.94199999999999995</v>
      </c>
      <c r="K144" s="104">
        <f t="shared" si="211"/>
        <v>-5.0000000000000001E-3</v>
      </c>
      <c r="L144" s="105">
        <f t="shared" si="213"/>
        <v>0.26369999999999999</v>
      </c>
      <c r="M144" s="105">
        <f t="shared" si="213"/>
        <v>9.74E-2</v>
      </c>
      <c r="N144" s="105">
        <f t="shared" si="213"/>
        <v>0.1</v>
      </c>
      <c r="O144" s="20">
        <f t="shared" ref="O144:P144" si="218">ROUND(O156,0)</f>
        <v>180</v>
      </c>
      <c r="P144" s="20">
        <f t="shared" si="218"/>
        <v>60</v>
      </c>
      <c r="Q144" s="104">
        <f t="shared" si="215"/>
        <v>1E-3</v>
      </c>
      <c r="R144" s="20">
        <f t="shared" ref="R144:S144" si="219">ROUND(R156,0)</f>
        <v>3</v>
      </c>
      <c r="S144" s="20">
        <f t="shared" si="219"/>
        <v>1500</v>
      </c>
      <c r="T144" s="104">
        <f t="shared" si="217"/>
        <v>0.1</v>
      </c>
      <c r="U144" s="123" t="s">
        <v>282</v>
      </c>
      <c r="V144" s="21"/>
      <c r="W144" s="58">
        <f t="shared" si="194"/>
        <v>2062</v>
      </c>
      <c r="X144" s="102">
        <f t="shared" si="195"/>
        <v>62.333300000000001</v>
      </c>
      <c r="Y144" s="102">
        <f t="shared" si="196"/>
        <v>17.466699999999999</v>
      </c>
      <c r="Z144" s="21">
        <f t="shared" si="197"/>
        <v>8195</v>
      </c>
      <c r="AA144" s="44">
        <f t="shared" si="198"/>
        <v>0</v>
      </c>
      <c r="AB144" s="21">
        <f t="shared" si="199"/>
        <v>3</v>
      </c>
      <c r="AC144" s="121">
        <f>ROUND(I144+mwreg!$G$20/100,3)</f>
        <v>-0.751</v>
      </c>
      <c r="AD144" s="101">
        <f>ROUND(J144+mwreg!$G$20/100,3)</f>
        <v>0.94899999999999995</v>
      </c>
      <c r="AE144" s="101">
        <f>ROUND(K144+mwreg!$G$20/100,3)</f>
        <v>2E-3</v>
      </c>
      <c r="AF144" s="102">
        <f t="shared" si="203"/>
        <v>0.26369999999999999</v>
      </c>
      <c r="AG144" s="102">
        <f t="shared" si="204"/>
        <v>9.74E-2</v>
      </c>
      <c r="AH144" s="102">
        <f t="shared" si="112"/>
        <v>0.1</v>
      </c>
      <c r="AI144" s="21">
        <f t="shared" si="113"/>
        <v>180</v>
      </c>
      <c r="AJ144" s="21">
        <f t="shared" si="114"/>
        <v>60</v>
      </c>
      <c r="AK144" s="101">
        <f t="shared" si="115"/>
        <v>1E-3</v>
      </c>
      <c r="AL144" s="21">
        <f t="shared" si="116"/>
        <v>3</v>
      </c>
      <c r="AM144" s="21">
        <f t="shared" si="117"/>
        <v>1500</v>
      </c>
      <c r="AN144" s="101">
        <f t="shared" si="118"/>
        <v>0.1</v>
      </c>
      <c r="AO144" s="185" t="str">
        <f t="shared" si="151"/>
        <v>NaN</v>
      </c>
    </row>
    <row r="145" spans="1:41" x14ac:dyDescent="0.2">
      <c r="A145" s="3" t="s">
        <v>296</v>
      </c>
      <c r="B145" s="3" t="s">
        <v>296</v>
      </c>
      <c r="C145" s="52">
        <v>2062</v>
      </c>
      <c r="D145" s="105">
        <v>62.333300000000001</v>
      </c>
      <c r="E145" s="105">
        <v>17.466699999999999</v>
      </c>
      <c r="F145" s="20">
        <v>8195</v>
      </c>
      <c r="G145" s="18">
        <v>0</v>
      </c>
      <c r="H145" s="53">
        <v>4</v>
      </c>
      <c r="I145" s="167">
        <f t="shared" si="211"/>
        <v>-0.82</v>
      </c>
      <c r="J145" s="104">
        <f t="shared" si="211"/>
        <v>0.64900000000000002</v>
      </c>
      <c r="K145" s="104">
        <f t="shared" si="211"/>
        <v>-0.121</v>
      </c>
      <c r="L145" s="105">
        <f t="shared" si="213"/>
        <v>0.17399999999999999</v>
      </c>
      <c r="M145" s="105">
        <f t="shared" si="213"/>
        <v>6.2700000000000006E-2</v>
      </c>
      <c r="N145" s="105">
        <f t="shared" si="213"/>
        <v>6.5000000000000002E-2</v>
      </c>
      <c r="O145" s="20">
        <f t="shared" ref="O145:P145" si="220">ROUND(O157,0)</f>
        <v>180</v>
      </c>
      <c r="P145" s="20">
        <f t="shared" si="220"/>
        <v>60</v>
      </c>
      <c r="Q145" s="104">
        <f t="shared" si="215"/>
        <v>1E-3</v>
      </c>
      <c r="R145" s="20">
        <f t="shared" ref="R145:S145" si="221">ROUND(R157,0)</f>
        <v>3</v>
      </c>
      <c r="S145" s="20">
        <f t="shared" si="221"/>
        <v>1500</v>
      </c>
      <c r="T145" s="104">
        <f t="shared" si="217"/>
        <v>0.1</v>
      </c>
      <c r="U145" s="123" t="s">
        <v>282</v>
      </c>
      <c r="V145" s="21"/>
      <c r="W145" s="58">
        <f t="shared" si="194"/>
        <v>2062</v>
      </c>
      <c r="X145" s="102">
        <f t="shared" si="195"/>
        <v>62.333300000000001</v>
      </c>
      <c r="Y145" s="102">
        <f t="shared" si="196"/>
        <v>17.466699999999999</v>
      </c>
      <c r="Z145" s="21">
        <f t="shared" si="197"/>
        <v>8195</v>
      </c>
      <c r="AA145" s="44">
        <f t="shared" si="198"/>
        <v>0</v>
      </c>
      <c r="AB145" s="21">
        <f t="shared" si="199"/>
        <v>4</v>
      </c>
      <c r="AC145" s="121">
        <f>ROUND(I145+mwreg!$G$20/100,3)</f>
        <v>-0.81299999999999994</v>
      </c>
      <c r="AD145" s="101">
        <f>ROUND(J145+mwreg!$G$20/100,3)</f>
        <v>0.65600000000000003</v>
      </c>
      <c r="AE145" s="101">
        <f>ROUND(K145+mwreg!$G$20/100,3)</f>
        <v>-0.114</v>
      </c>
      <c r="AF145" s="102">
        <f t="shared" si="203"/>
        <v>0.17399999999999999</v>
      </c>
      <c r="AG145" s="102">
        <f t="shared" si="204"/>
        <v>6.2700000000000006E-2</v>
      </c>
      <c r="AH145" s="102">
        <f t="shared" si="112"/>
        <v>6.5000000000000002E-2</v>
      </c>
      <c r="AI145" s="21">
        <f t="shared" si="113"/>
        <v>180</v>
      </c>
      <c r="AJ145" s="21">
        <f t="shared" si="114"/>
        <v>60</v>
      </c>
      <c r="AK145" s="101">
        <f t="shared" si="115"/>
        <v>1E-3</v>
      </c>
      <c r="AL145" s="21">
        <f t="shared" si="116"/>
        <v>3</v>
      </c>
      <c r="AM145" s="21">
        <f t="shared" si="117"/>
        <v>1500</v>
      </c>
      <c r="AN145" s="101">
        <f t="shared" si="118"/>
        <v>0.1</v>
      </c>
      <c r="AO145" s="185" t="str">
        <f t="shared" si="151"/>
        <v>NaN</v>
      </c>
    </row>
    <row r="146" spans="1:41" x14ac:dyDescent="0.2">
      <c r="A146" s="3" t="s">
        <v>296</v>
      </c>
      <c r="B146" s="3" t="s">
        <v>296</v>
      </c>
      <c r="C146" s="52">
        <v>2062</v>
      </c>
      <c r="D146" s="105">
        <v>62.333300000000001</v>
      </c>
      <c r="E146" s="105">
        <v>17.466699999999999</v>
      </c>
      <c r="F146" s="20">
        <v>8195</v>
      </c>
      <c r="G146" s="18">
        <v>0</v>
      </c>
      <c r="H146" s="53">
        <v>5</v>
      </c>
      <c r="I146" s="167">
        <f t="shared" si="211"/>
        <v>-0.755</v>
      </c>
      <c r="J146" s="104">
        <f t="shared" si="211"/>
        <v>0.36099999999999999</v>
      </c>
      <c r="K146" s="104">
        <f t="shared" si="211"/>
        <v>-0.1</v>
      </c>
      <c r="L146" s="105">
        <f t="shared" si="213"/>
        <v>0.14660000000000001</v>
      </c>
      <c r="M146" s="105">
        <f t="shared" si="213"/>
        <v>4.2700000000000002E-2</v>
      </c>
      <c r="N146" s="105">
        <f t="shared" si="213"/>
        <v>4.4999999999999998E-2</v>
      </c>
      <c r="O146" s="20">
        <f t="shared" ref="O146:P146" si="222">ROUND(O158,0)</f>
        <v>180</v>
      </c>
      <c r="P146" s="20">
        <f t="shared" si="222"/>
        <v>60</v>
      </c>
      <c r="Q146" s="104">
        <f t="shared" si="215"/>
        <v>1E-3</v>
      </c>
      <c r="R146" s="20">
        <f t="shared" ref="R146:S146" si="223">ROUND(R158,0)</f>
        <v>3</v>
      </c>
      <c r="S146" s="20">
        <f t="shared" si="223"/>
        <v>1500</v>
      </c>
      <c r="T146" s="104">
        <f t="shared" si="217"/>
        <v>0.1</v>
      </c>
      <c r="U146" s="123" t="s">
        <v>282</v>
      </c>
      <c r="V146" s="21"/>
      <c r="W146" s="58">
        <f t="shared" si="194"/>
        <v>2062</v>
      </c>
      <c r="X146" s="102">
        <f t="shared" si="195"/>
        <v>62.333300000000001</v>
      </c>
      <c r="Y146" s="102">
        <f t="shared" si="196"/>
        <v>17.466699999999999</v>
      </c>
      <c r="Z146" s="21">
        <f t="shared" si="197"/>
        <v>8195</v>
      </c>
      <c r="AA146" s="44">
        <f t="shared" si="198"/>
        <v>0</v>
      </c>
      <c r="AB146" s="21">
        <f t="shared" si="199"/>
        <v>5</v>
      </c>
      <c r="AC146" s="121">
        <f>ROUND(I146+mwreg!$G$20/100,3)</f>
        <v>-0.748</v>
      </c>
      <c r="AD146" s="101">
        <f>ROUND(J146+mwreg!$G$20/100,3)</f>
        <v>0.36799999999999999</v>
      </c>
      <c r="AE146" s="101">
        <f>ROUND(K146+mwreg!$G$20/100,3)</f>
        <v>-9.2999999999999999E-2</v>
      </c>
      <c r="AF146" s="102">
        <f t="shared" si="203"/>
        <v>0.14660000000000001</v>
      </c>
      <c r="AG146" s="102">
        <f t="shared" si="204"/>
        <v>4.2700000000000002E-2</v>
      </c>
      <c r="AH146" s="102">
        <f t="shared" si="112"/>
        <v>4.4999999999999998E-2</v>
      </c>
      <c r="AI146" s="21">
        <f t="shared" si="113"/>
        <v>180</v>
      </c>
      <c r="AJ146" s="21">
        <f t="shared" si="114"/>
        <v>60</v>
      </c>
      <c r="AK146" s="101">
        <f t="shared" si="115"/>
        <v>1E-3</v>
      </c>
      <c r="AL146" s="21">
        <f t="shared" si="116"/>
        <v>3</v>
      </c>
      <c r="AM146" s="21">
        <f t="shared" si="117"/>
        <v>1500</v>
      </c>
      <c r="AN146" s="101">
        <f t="shared" si="118"/>
        <v>0.1</v>
      </c>
      <c r="AO146" s="185" t="str">
        <f t="shared" si="151"/>
        <v>NaN</v>
      </c>
    </row>
    <row r="147" spans="1:41" x14ac:dyDescent="0.2">
      <c r="A147" s="3" t="s">
        <v>296</v>
      </c>
      <c r="B147" s="3" t="s">
        <v>296</v>
      </c>
      <c r="C147" s="52">
        <v>2062</v>
      </c>
      <c r="D147" s="105">
        <v>62.333300000000001</v>
      </c>
      <c r="E147" s="105">
        <v>17.466699999999999</v>
      </c>
      <c r="F147" s="20">
        <v>8195</v>
      </c>
      <c r="G147" s="18">
        <v>0</v>
      </c>
      <c r="H147" s="53">
        <v>6</v>
      </c>
      <c r="I147" s="167">
        <f t="shared" si="211"/>
        <v>-0.51700000000000002</v>
      </c>
      <c r="J147" s="104">
        <f t="shared" si="211"/>
        <v>0.441</v>
      </c>
      <c r="K147" s="104">
        <f t="shared" si="211"/>
        <v>-7.2999999999999995E-2</v>
      </c>
      <c r="L147" s="105">
        <f t="shared" si="213"/>
        <v>0.1303</v>
      </c>
      <c r="M147" s="105">
        <f t="shared" si="213"/>
        <v>4.2799999999999998E-2</v>
      </c>
      <c r="N147" s="105">
        <f t="shared" si="213"/>
        <v>4.4999999999999998E-2</v>
      </c>
      <c r="O147" s="20">
        <f t="shared" ref="O147:P147" si="224">ROUND(O159,0)</f>
        <v>180</v>
      </c>
      <c r="P147" s="20">
        <f t="shared" si="224"/>
        <v>60</v>
      </c>
      <c r="Q147" s="104">
        <f t="shared" si="215"/>
        <v>1E-3</v>
      </c>
      <c r="R147" s="20">
        <f t="shared" ref="R147:S147" si="225">ROUND(R159,0)</f>
        <v>3</v>
      </c>
      <c r="S147" s="20">
        <f t="shared" si="225"/>
        <v>1500</v>
      </c>
      <c r="T147" s="104">
        <f t="shared" si="217"/>
        <v>0.1</v>
      </c>
      <c r="U147" s="123" t="s">
        <v>282</v>
      </c>
      <c r="V147" s="21"/>
      <c r="W147" s="58">
        <f t="shared" si="194"/>
        <v>2062</v>
      </c>
      <c r="X147" s="102">
        <f t="shared" si="195"/>
        <v>62.333300000000001</v>
      </c>
      <c r="Y147" s="102">
        <f t="shared" si="196"/>
        <v>17.466699999999999</v>
      </c>
      <c r="Z147" s="21">
        <f t="shared" si="197"/>
        <v>8195</v>
      </c>
      <c r="AA147" s="44">
        <f t="shared" si="198"/>
        <v>0</v>
      </c>
      <c r="AB147" s="21">
        <f t="shared" si="199"/>
        <v>6</v>
      </c>
      <c r="AC147" s="121">
        <f>ROUND(I147+mwreg!$G$20/100,3)</f>
        <v>-0.51</v>
      </c>
      <c r="AD147" s="101">
        <f>ROUND(J147+mwreg!$G$20/100,3)</f>
        <v>0.44800000000000001</v>
      </c>
      <c r="AE147" s="101">
        <f>ROUND(K147+mwreg!$G$20/100,3)</f>
        <v>-6.6000000000000003E-2</v>
      </c>
      <c r="AF147" s="102">
        <f t="shared" si="203"/>
        <v>0.1303</v>
      </c>
      <c r="AG147" s="102">
        <f t="shared" si="204"/>
        <v>4.2799999999999998E-2</v>
      </c>
      <c r="AH147" s="102">
        <f t="shared" si="112"/>
        <v>4.4999999999999998E-2</v>
      </c>
      <c r="AI147" s="21">
        <f t="shared" si="113"/>
        <v>180</v>
      </c>
      <c r="AJ147" s="21">
        <f t="shared" si="114"/>
        <v>60</v>
      </c>
      <c r="AK147" s="101">
        <f t="shared" si="115"/>
        <v>1E-3</v>
      </c>
      <c r="AL147" s="21">
        <f t="shared" si="116"/>
        <v>3</v>
      </c>
      <c r="AM147" s="21">
        <f t="shared" si="117"/>
        <v>1500</v>
      </c>
      <c r="AN147" s="101">
        <f t="shared" si="118"/>
        <v>0.1</v>
      </c>
      <c r="AO147" s="185" t="str">
        <f t="shared" si="151"/>
        <v>NaN</v>
      </c>
    </row>
    <row r="148" spans="1:41" x14ac:dyDescent="0.2">
      <c r="A148" s="3" t="s">
        <v>296</v>
      </c>
      <c r="B148" s="3" t="s">
        <v>296</v>
      </c>
      <c r="C148" s="52">
        <v>2062</v>
      </c>
      <c r="D148" s="105">
        <v>62.333300000000001</v>
      </c>
      <c r="E148" s="105">
        <v>17.466699999999999</v>
      </c>
      <c r="F148" s="20">
        <v>8195</v>
      </c>
      <c r="G148" s="18">
        <v>0</v>
      </c>
      <c r="H148" s="53">
        <v>7</v>
      </c>
      <c r="I148" s="167">
        <f t="shared" si="211"/>
        <v>-0.374</v>
      </c>
      <c r="J148" s="104">
        <f t="shared" si="211"/>
        <v>0.47699999999999998</v>
      </c>
      <c r="K148" s="104">
        <f t="shared" si="211"/>
        <v>3.5000000000000003E-2</v>
      </c>
      <c r="L148" s="105">
        <f t="shared" si="213"/>
        <v>0.1285</v>
      </c>
      <c r="M148" s="105">
        <f t="shared" si="213"/>
        <v>6.2799999999999995E-2</v>
      </c>
      <c r="N148" s="105">
        <f t="shared" si="213"/>
        <v>6.5000000000000002E-2</v>
      </c>
      <c r="O148" s="20">
        <f t="shared" ref="O148:P148" si="226">ROUND(O160,0)</f>
        <v>180</v>
      </c>
      <c r="P148" s="20">
        <f t="shared" si="226"/>
        <v>60</v>
      </c>
      <c r="Q148" s="104">
        <f t="shared" si="215"/>
        <v>1E-3</v>
      </c>
      <c r="R148" s="20">
        <f t="shared" ref="R148:S148" si="227">ROUND(R160,0)</f>
        <v>3</v>
      </c>
      <c r="S148" s="20">
        <f t="shared" si="227"/>
        <v>1500</v>
      </c>
      <c r="T148" s="104">
        <f t="shared" si="217"/>
        <v>0.1</v>
      </c>
      <c r="U148" s="123" t="s">
        <v>282</v>
      </c>
      <c r="V148" s="21"/>
      <c r="W148" s="58">
        <f t="shared" si="194"/>
        <v>2062</v>
      </c>
      <c r="X148" s="102">
        <f t="shared" si="195"/>
        <v>62.333300000000001</v>
      </c>
      <c r="Y148" s="102">
        <f t="shared" si="196"/>
        <v>17.466699999999999</v>
      </c>
      <c r="Z148" s="21">
        <f t="shared" si="197"/>
        <v>8195</v>
      </c>
      <c r="AA148" s="44">
        <f t="shared" si="198"/>
        <v>0</v>
      </c>
      <c r="AB148" s="21">
        <f t="shared" si="199"/>
        <v>7</v>
      </c>
      <c r="AC148" s="121">
        <f>ROUND(I148+mwreg!$G$20/100,3)</f>
        <v>-0.36699999999999999</v>
      </c>
      <c r="AD148" s="101">
        <f>ROUND(J148+mwreg!$G$20/100,3)</f>
        <v>0.48399999999999999</v>
      </c>
      <c r="AE148" s="101">
        <f>ROUND(K148+mwreg!$G$20/100,3)</f>
        <v>4.2000000000000003E-2</v>
      </c>
      <c r="AF148" s="102">
        <f t="shared" si="203"/>
        <v>0.1285</v>
      </c>
      <c r="AG148" s="102">
        <f t="shared" si="204"/>
        <v>6.2799999999999995E-2</v>
      </c>
      <c r="AH148" s="102">
        <f t="shared" si="112"/>
        <v>6.5000000000000002E-2</v>
      </c>
      <c r="AI148" s="21">
        <f t="shared" si="113"/>
        <v>180</v>
      </c>
      <c r="AJ148" s="21">
        <f t="shared" si="114"/>
        <v>60</v>
      </c>
      <c r="AK148" s="101">
        <f t="shared" si="115"/>
        <v>1E-3</v>
      </c>
      <c r="AL148" s="21">
        <f t="shared" si="116"/>
        <v>3</v>
      </c>
      <c r="AM148" s="21">
        <f t="shared" si="117"/>
        <v>1500</v>
      </c>
      <c r="AN148" s="101">
        <f t="shared" si="118"/>
        <v>0.1</v>
      </c>
      <c r="AO148" s="185" t="str">
        <f t="shared" si="151"/>
        <v>NaN</v>
      </c>
    </row>
    <row r="149" spans="1:41" x14ac:dyDescent="0.2">
      <c r="A149" s="3" t="s">
        <v>296</v>
      </c>
      <c r="B149" s="3" t="s">
        <v>296</v>
      </c>
      <c r="C149" s="52">
        <v>2062</v>
      </c>
      <c r="D149" s="105">
        <v>62.333300000000001</v>
      </c>
      <c r="E149" s="105">
        <v>17.466699999999999</v>
      </c>
      <c r="F149" s="20">
        <v>8195</v>
      </c>
      <c r="G149" s="18">
        <v>0</v>
      </c>
      <c r="H149" s="53">
        <v>8</v>
      </c>
      <c r="I149" s="167">
        <f t="shared" si="211"/>
        <v>-0.58499999999999996</v>
      </c>
      <c r="J149" s="104">
        <f t="shared" si="211"/>
        <v>0.71</v>
      </c>
      <c r="K149" s="104">
        <f t="shared" si="211"/>
        <v>2.5999999999999999E-2</v>
      </c>
      <c r="L149" s="105">
        <f t="shared" si="213"/>
        <v>0.12039999999999999</v>
      </c>
      <c r="M149" s="105">
        <f t="shared" si="213"/>
        <v>4.58E-2</v>
      </c>
      <c r="N149" s="105">
        <f t="shared" si="213"/>
        <v>4.8000000000000001E-2</v>
      </c>
      <c r="O149" s="20">
        <f t="shared" ref="O149:P149" si="228">ROUND(O161,0)</f>
        <v>180</v>
      </c>
      <c r="P149" s="20">
        <f t="shared" si="228"/>
        <v>60</v>
      </c>
      <c r="Q149" s="104">
        <f t="shared" si="215"/>
        <v>1E-3</v>
      </c>
      <c r="R149" s="20">
        <f t="shared" ref="R149:S149" si="229">ROUND(R161,0)</f>
        <v>3</v>
      </c>
      <c r="S149" s="20">
        <f t="shared" si="229"/>
        <v>1500</v>
      </c>
      <c r="T149" s="104">
        <f t="shared" si="217"/>
        <v>0.1</v>
      </c>
      <c r="U149" s="123" t="s">
        <v>282</v>
      </c>
      <c r="V149" s="21"/>
      <c r="W149" s="58">
        <f t="shared" si="194"/>
        <v>2062</v>
      </c>
      <c r="X149" s="102">
        <f t="shared" si="195"/>
        <v>62.333300000000001</v>
      </c>
      <c r="Y149" s="102">
        <f t="shared" si="196"/>
        <v>17.466699999999999</v>
      </c>
      <c r="Z149" s="21">
        <f t="shared" si="197"/>
        <v>8195</v>
      </c>
      <c r="AA149" s="44">
        <f t="shared" si="198"/>
        <v>0</v>
      </c>
      <c r="AB149" s="21">
        <f t="shared" si="199"/>
        <v>8</v>
      </c>
      <c r="AC149" s="121">
        <f>ROUND(I149+mwreg!$G$20/100,3)</f>
        <v>-0.57799999999999996</v>
      </c>
      <c r="AD149" s="101">
        <f>ROUND(J149+mwreg!$G$20/100,3)</f>
        <v>0.71699999999999997</v>
      </c>
      <c r="AE149" s="101">
        <f>ROUND(K149+mwreg!$G$20/100,3)</f>
        <v>3.3000000000000002E-2</v>
      </c>
      <c r="AF149" s="102">
        <f t="shared" si="203"/>
        <v>0.12039999999999999</v>
      </c>
      <c r="AG149" s="102">
        <f t="shared" si="204"/>
        <v>4.58E-2</v>
      </c>
      <c r="AH149" s="102">
        <f t="shared" si="112"/>
        <v>4.8000000000000001E-2</v>
      </c>
      <c r="AI149" s="21">
        <f t="shared" si="113"/>
        <v>180</v>
      </c>
      <c r="AJ149" s="21">
        <f t="shared" si="114"/>
        <v>60</v>
      </c>
      <c r="AK149" s="101">
        <f t="shared" si="115"/>
        <v>1E-3</v>
      </c>
      <c r="AL149" s="21">
        <f t="shared" si="116"/>
        <v>3</v>
      </c>
      <c r="AM149" s="21">
        <f t="shared" si="117"/>
        <v>1500</v>
      </c>
      <c r="AN149" s="101">
        <f t="shared" si="118"/>
        <v>0.1</v>
      </c>
      <c r="AO149" s="185" t="str">
        <f t="shared" si="151"/>
        <v>NaN</v>
      </c>
    </row>
    <row r="150" spans="1:41" x14ac:dyDescent="0.2">
      <c r="A150" s="3" t="s">
        <v>296</v>
      </c>
      <c r="B150" s="3" t="s">
        <v>296</v>
      </c>
      <c r="C150" s="52">
        <v>2062</v>
      </c>
      <c r="D150" s="105">
        <v>62.333300000000001</v>
      </c>
      <c r="E150" s="105">
        <v>17.466699999999999</v>
      </c>
      <c r="F150" s="20">
        <v>8195</v>
      </c>
      <c r="G150" s="18">
        <v>0</v>
      </c>
      <c r="H150" s="53">
        <v>9</v>
      </c>
      <c r="I150" s="167">
        <f t="shared" si="211"/>
        <v>-0.67300000000000004</v>
      </c>
      <c r="J150" s="104">
        <f t="shared" si="211"/>
        <v>0.63</v>
      </c>
      <c r="K150" s="104">
        <f t="shared" si="211"/>
        <v>6.7000000000000004E-2</v>
      </c>
      <c r="L150" s="105">
        <f t="shared" si="213"/>
        <v>0.15290000000000001</v>
      </c>
      <c r="M150" s="105">
        <f t="shared" si="213"/>
        <v>5.4100000000000002E-2</v>
      </c>
      <c r="N150" s="105">
        <f t="shared" si="213"/>
        <v>5.7000000000000002E-2</v>
      </c>
      <c r="O150" s="20">
        <f t="shared" ref="O150:P150" si="230">ROUND(O162,0)</f>
        <v>180</v>
      </c>
      <c r="P150" s="20">
        <f t="shared" si="230"/>
        <v>60</v>
      </c>
      <c r="Q150" s="104">
        <f t="shared" si="215"/>
        <v>1E-3</v>
      </c>
      <c r="R150" s="20">
        <f t="shared" ref="R150:S150" si="231">ROUND(R162,0)</f>
        <v>3</v>
      </c>
      <c r="S150" s="20">
        <f t="shared" si="231"/>
        <v>1500</v>
      </c>
      <c r="T150" s="104">
        <f t="shared" si="217"/>
        <v>0.1</v>
      </c>
      <c r="U150" s="123" t="s">
        <v>282</v>
      </c>
      <c r="V150" s="21"/>
      <c r="W150" s="58">
        <f t="shared" si="194"/>
        <v>2062</v>
      </c>
      <c r="X150" s="102">
        <f t="shared" si="195"/>
        <v>62.333300000000001</v>
      </c>
      <c r="Y150" s="102">
        <f t="shared" si="196"/>
        <v>17.466699999999999</v>
      </c>
      <c r="Z150" s="21">
        <f t="shared" si="197"/>
        <v>8195</v>
      </c>
      <c r="AA150" s="44">
        <f t="shared" si="198"/>
        <v>0</v>
      </c>
      <c r="AB150" s="21">
        <f t="shared" si="199"/>
        <v>9</v>
      </c>
      <c r="AC150" s="121">
        <f>ROUND(I150+mwreg!$G$20/100,3)</f>
        <v>-0.66600000000000004</v>
      </c>
      <c r="AD150" s="101">
        <f>ROUND(J150+mwreg!$G$20/100,3)</f>
        <v>0.63700000000000001</v>
      </c>
      <c r="AE150" s="101">
        <f>ROUND(K150+mwreg!$G$20/100,3)</f>
        <v>7.3999999999999996E-2</v>
      </c>
      <c r="AF150" s="102">
        <f t="shared" si="203"/>
        <v>0.15290000000000001</v>
      </c>
      <c r="AG150" s="102">
        <f t="shared" si="204"/>
        <v>5.4100000000000002E-2</v>
      </c>
      <c r="AH150" s="102">
        <f t="shared" si="112"/>
        <v>5.7000000000000002E-2</v>
      </c>
      <c r="AI150" s="21">
        <f t="shared" si="113"/>
        <v>180</v>
      </c>
      <c r="AJ150" s="21">
        <f t="shared" si="114"/>
        <v>60</v>
      </c>
      <c r="AK150" s="101">
        <f t="shared" si="115"/>
        <v>1E-3</v>
      </c>
      <c r="AL150" s="21">
        <f t="shared" si="116"/>
        <v>3</v>
      </c>
      <c r="AM150" s="21">
        <f t="shared" si="117"/>
        <v>1500</v>
      </c>
      <c r="AN150" s="101">
        <f t="shared" si="118"/>
        <v>0.1</v>
      </c>
      <c r="AO150" s="185" t="str">
        <f t="shared" si="151"/>
        <v>NaN</v>
      </c>
    </row>
    <row r="151" spans="1:41" x14ac:dyDescent="0.2">
      <c r="A151" s="3" t="s">
        <v>296</v>
      </c>
      <c r="B151" s="3" t="s">
        <v>296</v>
      </c>
      <c r="C151" s="52">
        <v>2062</v>
      </c>
      <c r="D151" s="105">
        <v>62.333300000000001</v>
      </c>
      <c r="E151" s="105">
        <v>17.466699999999999</v>
      </c>
      <c r="F151" s="20">
        <v>8195</v>
      </c>
      <c r="G151" s="18">
        <v>0</v>
      </c>
      <c r="H151" s="53">
        <v>10</v>
      </c>
      <c r="I151" s="167">
        <f t="shared" si="211"/>
        <v>-0.76300000000000001</v>
      </c>
      <c r="J151" s="104">
        <f t="shared" si="211"/>
        <v>0.82199999999999995</v>
      </c>
      <c r="K151" s="104">
        <f t="shared" si="211"/>
        <v>6.3E-2</v>
      </c>
      <c r="L151" s="105">
        <f t="shared" si="213"/>
        <v>0.1966</v>
      </c>
      <c r="M151" s="105">
        <f t="shared" si="213"/>
        <v>4.6399999999999997E-2</v>
      </c>
      <c r="N151" s="105">
        <f t="shared" si="213"/>
        <v>4.9000000000000002E-2</v>
      </c>
      <c r="O151" s="20">
        <f t="shared" ref="O151:P151" si="232">ROUND(O163,0)</f>
        <v>180</v>
      </c>
      <c r="P151" s="20">
        <f t="shared" si="232"/>
        <v>60</v>
      </c>
      <c r="Q151" s="104">
        <f t="shared" si="215"/>
        <v>1E-3</v>
      </c>
      <c r="R151" s="20">
        <f t="shared" ref="R151:S151" si="233">ROUND(R163,0)</f>
        <v>3</v>
      </c>
      <c r="S151" s="20">
        <f t="shared" si="233"/>
        <v>1500</v>
      </c>
      <c r="T151" s="104">
        <f t="shared" si="217"/>
        <v>0.1</v>
      </c>
      <c r="U151" s="123" t="s">
        <v>282</v>
      </c>
      <c r="V151" s="21"/>
      <c r="W151" s="58">
        <f t="shared" si="194"/>
        <v>2062</v>
      </c>
      <c r="X151" s="102">
        <f t="shared" si="195"/>
        <v>62.333300000000001</v>
      </c>
      <c r="Y151" s="102">
        <f t="shared" si="196"/>
        <v>17.466699999999999</v>
      </c>
      <c r="Z151" s="21">
        <f t="shared" si="197"/>
        <v>8195</v>
      </c>
      <c r="AA151" s="44">
        <f t="shared" si="198"/>
        <v>0</v>
      </c>
      <c r="AB151" s="21">
        <f t="shared" si="199"/>
        <v>10</v>
      </c>
      <c r="AC151" s="121">
        <f>ROUND(I151+mwreg!$G$20/100,3)</f>
        <v>-0.75600000000000001</v>
      </c>
      <c r="AD151" s="101">
        <f>ROUND(J151+mwreg!$G$20/100,3)</f>
        <v>0.82899999999999996</v>
      </c>
      <c r="AE151" s="101">
        <f>ROUND(K151+mwreg!$G$20/100,3)</f>
        <v>7.0000000000000007E-2</v>
      </c>
      <c r="AF151" s="102">
        <f t="shared" si="203"/>
        <v>0.1966</v>
      </c>
      <c r="AG151" s="102">
        <f t="shared" si="204"/>
        <v>4.6399999999999997E-2</v>
      </c>
      <c r="AH151" s="102">
        <f t="shared" si="112"/>
        <v>4.9000000000000002E-2</v>
      </c>
      <c r="AI151" s="21">
        <f t="shared" si="113"/>
        <v>180</v>
      </c>
      <c r="AJ151" s="21">
        <f t="shared" si="114"/>
        <v>60</v>
      </c>
      <c r="AK151" s="101">
        <f t="shared" si="115"/>
        <v>1E-3</v>
      </c>
      <c r="AL151" s="21">
        <f t="shared" si="116"/>
        <v>3</v>
      </c>
      <c r="AM151" s="21">
        <f t="shared" si="117"/>
        <v>1500</v>
      </c>
      <c r="AN151" s="101">
        <f t="shared" si="118"/>
        <v>0.1</v>
      </c>
      <c r="AO151" s="185" t="str">
        <f t="shared" si="151"/>
        <v>NaN</v>
      </c>
    </row>
    <row r="152" spans="1:41" x14ac:dyDescent="0.2">
      <c r="A152" s="3" t="s">
        <v>296</v>
      </c>
      <c r="B152" s="3" t="s">
        <v>296</v>
      </c>
      <c r="C152" s="52">
        <v>2062</v>
      </c>
      <c r="D152" s="105">
        <v>62.333300000000001</v>
      </c>
      <c r="E152" s="105">
        <v>17.466699999999999</v>
      </c>
      <c r="F152" s="20">
        <v>8195</v>
      </c>
      <c r="G152" s="18">
        <v>0</v>
      </c>
      <c r="H152" s="53">
        <v>11</v>
      </c>
      <c r="I152" s="167">
        <f t="shared" si="211"/>
        <v>-0.93799999999999994</v>
      </c>
      <c r="J152" s="104">
        <f t="shared" si="211"/>
        <v>0.94599999999999995</v>
      </c>
      <c r="K152" s="104">
        <f t="shared" si="211"/>
        <v>5.8999999999999997E-2</v>
      </c>
      <c r="L152" s="105">
        <f t="shared" si="213"/>
        <v>0.22059999999999999</v>
      </c>
      <c r="M152" s="105">
        <f t="shared" si="213"/>
        <v>4.3900000000000002E-2</v>
      </c>
      <c r="N152" s="105">
        <f t="shared" si="213"/>
        <v>4.7E-2</v>
      </c>
      <c r="O152" s="20">
        <f t="shared" ref="O152:P152" si="234">ROUND(O164,0)</f>
        <v>180</v>
      </c>
      <c r="P152" s="20">
        <f t="shared" si="234"/>
        <v>60</v>
      </c>
      <c r="Q152" s="104">
        <f t="shared" si="215"/>
        <v>1E-3</v>
      </c>
      <c r="R152" s="20">
        <f t="shared" ref="R152:S152" si="235">ROUND(R164,0)</f>
        <v>3</v>
      </c>
      <c r="S152" s="20">
        <f t="shared" si="235"/>
        <v>1500</v>
      </c>
      <c r="T152" s="104">
        <f t="shared" si="217"/>
        <v>0.1</v>
      </c>
      <c r="U152" s="123" t="s">
        <v>282</v>
      </c>
      <c r="V152" s="21"/>
      <c r="W152" s="58">
        <f t="shared" si="194"/>
        <v>2062</v>
      </c>
      <c r="X152" s="102">
        <f t="shared" si="195"/>
        <v>62.333300000000001</v>
      </c>
      <c r="Y152" s="102">
        <f t="shared" si="196"/>
        <v>17.466699999999999</v>
      </c>
      <c r="Z152" s="21">
        <f t="shared" si="197"/>
        <v>8195</v>
      </c>
      <c r="AA152" s="44">
        <f t="shared" si="198"/>
        <v>0</v>
      </c>
      <c r="AB152" s="21">
        <f t="shared" si="199"/>
        <v>11</v>
      </c>
      <c r="AC152" s="121">
        <f>ROUND(I152+mwreg!$G$20/100,3)</f>
        <v>-0.93100000000000005</v>
      </c>
      <c r="AD152" s="101">
        <f>ROUND(J152+mwreg!$G$20/100,3)</f>
        <v>0.95299999999999996</v>
      </c>
      <c r="AE152" s="101">
        <f>ROUND(K152+mwreg!$G$20/100,3)</f>
        <v>6.6000000000000003E-2</v>
      </c>
      <c r="AF152" s="102">
        <f t="shared" si="203"/>
        <v>0.22059999999999999</v>
      </c>
      <c r="AG152" s="102">
        <f t="shared" si="204"/>
        <v>4.3900000000000002E-2</v>
      </c>
      <c r="AH152" s="102">
        <f t="shared" si="112"/>
        <v>4.7E-2</v>
      </c>
      <c r="AI152" s="21">
        <f t="shared" si="113"/>
        <v>180</v>
      </c>
      <c r="AJ152" s="21">
        <f t="shared" si="114"/>
        <v>60</v>
      </c>
      <c r="AK152" s="101">
        <f t="shared" si="115"/>
        <v>1E-3</v>
      </c>
      <c r="AL152" s="21">
        <f t="shared" si="116"/>
        <v>3</v>
      </c>
      <c r="AM152" s="21">
        <f t="shared" si="117"/>
        <v>1500</v>
      </c>
      <c r="AN152" s="101">
        <f t="shared" si="118"/>
        <v>0.1</v>
      </c>
      <c r="AO152" s="185" t="str">
        <f t="shared" si="151"/>
        <v>NaN</v>
      </c>
    </row>
    <row r="153" spans="1:41" x14ac:dyDescent="0.2">
      <c r="A153" s="3" t="s">
        <v>296</v>
      </c>
      <c r="B153" s="3" t="s">
        <v>296</v>
      </c>
      <c r="C153" s="52">
        <v>2062</v>
      </c>
      <c r="D153" s="105">
        <v>62.333300000000001</v>
      </c>
      <c r="E153" s="105">
        <v>17.466699999999999</v>
      </c>
      <c r="F153" s="20">
        <v>8195</v>
      </c>
      <c r="G153" s="18">
        <v>0</v>
      </c>
      <c r="H153" s="53">
        <v>12</v>
      </c>
      <c r="I153" s="167">
        <f t="shared" si="211"/>
        <v>-0.73499999999999999</v>
      </c>
      <c r="J153" s="104">
        <f t="shared" si="211"/>
        <v>1.204</v>
      </c>
      <c r="K153" s="104">
        <f t="shared" si="211"/>
        <v>0.115</v>
      </c>
      <c r="L153" s="105">
        <f t="shared" si="213"/>
        <v>0.23710000000000001</v>
      </c>
      <c r="M153" s="105">
        <f t="shared" si="213"/>
        <v>4.4999999999999998E-2</v>
      </c>
      <c r="N153" s="105">
        <f t="shared" si="213"/>
        <v>4.8000000000000001E-2</v>
      </c>
      <c r="O153" s="20">
        <f t="shared" ref="O153:P153" si="236">ROUND(O165,0)</f>
        <v>180</v>
      </c>
      <c r="P153" s="20">
        <f t="shared" si="236"/>
        <v>60</v>
      </c>
      <c r="Q153" s="104">
        <f t="shared" si="215"/>
        <v>1E-3</v>
      </c>
      <c r="R153" s="20">
        <f t="shared" ref="R153:S153" si="237">ROUND(R165,0)</f>
        <v>3</v>
      </c>
      <c r="S153" s="20">
        <f t="shared" si="237"/>
        <v>1500</v>
      </c>
      <c r="T153" s="104">
        <f t="shared" si="217"/>
        <v>0.1</v>
      </c>
      <c r="U153" s="123" t="s">
        <v>282</v>
      </c>
      <c r="V153" s="21"/>
      <c r="W153" s="58">
        <f t="shared" si="194"/>
        <v>2062</v>
      </c>
      <c r="X153" s="102">
        <f t="shared" si="195"/>
        <v>62.333300000000001</v>
      </c>
      <c r="Y153" s="102">
        <f t="shared" si="196"/>
        <v>17.466699999999999</v>
      </c>
      <c r="Z153" s="21">
        <f t="shared" si="197"/>
        <v>8195</v>
      </c>
      <c r="AA153" s="44">
        <f t="shared" si="198"/>
        <v>0</v>
      </c>
      <c r="AB153" s="21">
        <f t="shared" si="199"/>
        <v>12</v>
      </c>
      <c r="AC153" s="121">
        <f>ROUND(I153+mwreg!$G$20/100,3)</f>
        <v>-0.72799999999999998</v>
      </c>
      <c r="AD153" s="101">
        <f>ROUND(J153+mwreg!$G$20/100,3)</f>
        <v>1.2110000000000001</v>
      </c>
      <c r="AE153" s="101">
        <f>ROUND(K153+mwreg!$G$20/100,3)</f>
        <v>0.122</v>
      </c>
      <c r="AF153" s="102">
        <f t="shared" si="203"/>
        <v>0.23710000000000001</v>
      </c>
      <c r="AG153" s="102">
        <f t="shared" si="204"/>
        <v>4.4999999999999998E-2</v>
      </c>
      <c r="AH153" s="102">
        <f t="shared" si="112"/>
        <v>4.8000000000000001E-2</v>
      </c>
      <c r="AI153" s="21">
        <f t="shared" si="113"/>
        <v>180</v>
      </c>
      <c r="AJ153" s="21">
        <f t="shared" si="114"/>
        <v>60</v>
      </c>
      <c r="AK153" s="101">
        <f t="shared" si="115"/>
        <v>1E-3</v>
      </c>
      <c r="AL153" s="21">
        <f t="shared" si="116"/>
        <v>3</v>
      </c>
      <c r="AM153" s="21">
        <f t="shared" si="117"/>
        <v>1500</v>
      </c>
      <c r="AN153" s="101">
        <f t="shared" si="118"/>
        <v>0.1</v>
      </c>
      <c r="AO153" s="185" t="str">
        <f t="shared" si="151"/>
        <v>NaN</v>
      </c>
    </row>
    <row r="154" spans="1:41" x14ac:dyDescent="0.2">
      <c r="A154" s="3" t="str">
        <f>stat_uppg!A21</f>
        <v>2061/33055</v>
      </c>
      <c r="B154" s="3" t="str">
        <f>stat_uppg!B21</f>
        <v>SPIKARNA (SMHI)</v>
      </c>
      <c r="C154" s="55">
        <v>2061</v>
      </c>
      <c r="D154" s="79">
        <v>62.363300000000002</v>
      </c>
      <c r="E154" s="79">
        <v>17.531099999999999</v>
      </c>
      <c r="F154" s="14">
        <v>8195</v>
      </c>
      <c r="G154" s="10">
        <v>0</v>
      </c>
      <c r="H154" s="122">
        <v>1</v>
      </c>
      <c r="I154" s="120">
        <v>-0.877</v>
      </c>
      <c r="J154" s="106">
        <v>1.27</v>
      </c>
      <c r="K154" s="106">
        <v>0.153</v>
      </c>
      <c r="L154" s="100">
        <v>0.2792</v>
      </c>
      <c r="M154" s="79">
        <v>3.8800000000000001E-2</v>
      </c>
      <c r="N154" s="79">
        <v>4.2000000000000003E-2</v>
      </c>
      <c r="O154" s="14">
        <v>180</v>
      </c>
      <c r="P154" s="14">
        <v>60</v>
      </c>
      <c r="Q154" s="11">
        <v>1E-3</v>
      </c>
      <c r="R154" s="14">
        <v>3</v>
      </c>
      <c r="S154" s="14">
        <v>1500</v>
      </c>
      <c r="T154" s="11">
        <v>0.1</v>
      </c>
      <c r="U154" s="122">
        <v>255060</v>
      </c>
      <c r="V154" s="35"/>
      <c r="W154" s="99">
        <f t="shared" si="194"/>
        <v>2061</v>
      </c>
      <c r="X154" s="100">
        <f t="shared" si="195"/>
        <v>62.363300000000002</v>
      </c>
      <c r="Y154" s="100">
        <f t="shared" si="196"/>
        <v>17.531099999999999</v>
      </c>
      <c r="Z154" s="22">
        <f t="shared" si="197"/>
        <v>8195</v>
      </c>
      <c r="AA154" s="35">
        <f t="shared" si="198"/>
        <v>0</v>
      </c>
      <c r="AB154" s="22">
        <f t="shared" si="199"/>
        <v>1</v>
      </c>
      <c r="AC154" s="120">
        <f>ROUND(I154+mwreg!$G$21/100,3)</f>
        <v>-0.87</v>
      </c>
      <c r="AD154" s="106">
        <f>ROUND(J154+mwreg!$G$21/100,3)</f>
        <v>1.2769999999999999</v>
      </c>
      <c r="AE154" s="106">
        <f>ROUND(K154+mwreg!$G$21/100,3)</f>
        <v>0.16</v>
      </c>
      <c r="AF154" s="100">
        <f t="shared" si="203"/>
        <v>0.2792</v>
      </c>
      <c r="AG154" s="100">
        <f t="shared" si="204"/>
        <v>3.8800000000000001E-2</v>
      </c>
      <c r="AH154" s="100">
        <f t="shared" ref="AH154:AH213" si="238">N154</f>
        <v>4.2000000000000003E-2</v>
      </c>
      <c r="AI154" s="22">
        <f t="shared" ref="AI154:AI213" si="239">O154</f>
        <v>180</v>
      </c>
      <c r="AJ154" s="22">
        <f t="shared" ref="AJ154:AJ213" si="240">P154</f>
        <v>60</v>
      </c>
      <c r="AK154" s="106">
        <f t="shared" ref="AK154:AK213" si="241">Q154</f>
        <v>1E-3</v>
      </c>
      <c r="AL154" s="22">
        <f t="shared" ref="AL154:AL213" si="242">R154</f>
        <v>3</v>
      </c>
      <c r="AM154" s="22">
        <f t="shared" ref="AM154:AM213" si="243">S154</f>
        <v>1500</v>
      </c>
      <c r="AN154" s="106">
        <f t="shared" ref="AN154:AN213" si="244">T154</f>
        <v>0.1</v>
      </c>
      <c r="AO154" s="184">
        <f t="shared" si="151"/>
        <v>255060</v>
      </c>
    </row>
    <row r="155" spans="1:41" x14ac:dyDescent="0.2">
      <c r="A155" s="3" t="s">
        <v>296</v>
      </c>
      <c r="B155" s="3" t="s">
        <v>296</v>
      </c>
      <c r="C155" s="55">
        <v>2061</v>
      </c>
      <c r="D155" s="79">
        <v>62.363300000000002</v>
      </c>
      <c r="E155" s="79">
        <v>17.531099999999999</v>
      </c>
      <c r="F155" s="14">
        <v>8195</v>
      </c>
      <c r="G155" s="10">
        <v>0</v>
      </c>
      <c r="H155" s="122">
        <v>2</v>
      </c>
      <c r="I155" s="120">
        <v>-0.73199999999999998</v>
      </c>
      <c r="J155" s="106">
        <v>1.2529999999999999</v>
      </c>
      <c r="K155" s="106">
        <v>0.09</v>
      </c>
      <c r="L155" s="100">
        <v>0.3039</v>
      </c>
      <c r="M155" s="79">
        <v>4.4299999999999999E-2</v>
      </c>
      <c r="N155" s="79">
        <v>4.7E-2</v>
      </c>
      <c r="O155" s="14">
        <v>180</v>
      </c>
      <c r="P155" s="14">
        <v>60</v>
      </c>
      <c r="Q155" s="11">
        <v>1E-3</v>
      </c>
      <c r="R155" s="14">
        <v>3</v>
      </c>
      <c r="S155" s="14">
        <v>1500</v>
      </c>
      <c r="T155" s="11">
        <v>0.1</v>
      </c>
      <c r="U155" s="122">
        <v>230228</v>
      </c>
      <c r="V155" s="35"/>
      <c r="W155" s="99">
        <f t="shared" si="194"/>
        <v>2061</v>
      </c>
      <c r="X155" s="100">
        <f t="shared" si="195"/>
        <v>62.363300000000002</v>
      </c>
      <c r="Y155" s="100">
        <f t="shared" si="196"/>
        <v>17.531099999999999</v>
      </c>
      <c r="Z155" s="22">
        <f t="shared" si="197"/>
        <v>8195</v>
      </c>
      <c r="AA155" s="35">
        <f t="shared" si="198"/>
        <v>0</v>
      </c>
      <c r="AB155" s="22">
        <f t="shared" si="199"/>
        <v>2</v>
      </c>
      <c r="AC155" s="120">
        <f>ROUND(I155+mwreg!$G$21/100,3)</f>
        <v>-0.72499999999999998</v>
      </c>
      <c r="AD155" s="106">
        <f>ROUND(J155+mwreg!$G$21/100,3)</f>
        <v>1.26</v>
      </c>
      <c r="AE155" s="106">
        <f>ROUND(K155+mwreg!$G$21/100,3)</f>
        <v>9.7000000000000003E-2</v>
      </c>
      <c r="AF155" s="100">
        <f t="shared" si="203"/>
        <v>0.3039</v>
      </c>
      <c r="AG155" s="100">
        <f t="shared" si="204"/>
        <v>4.4299999999999999E-2</v>
      </c>
      <c r="AH155" s="100">
        <f t="shared" si="238"/>
        <v>4.7E-2</v>
      </c>
      <c r="AI155" s="22">
        <f t="shared" si="239"/>
        <v>180</v>
      </c>
      <c r="AJ155" s="22">
        <f t="shared" si="240"/>
        <v>60</v>
      </c>
      <c r="AK155" s="106">
        <f t="shared" si="241"/>
        <v>1E-3</v>
      </c>
      <c r="AL155" s="22">
        <f t="shared" si="242"/>
        <v>3</v>
      </c>
      <c r="AM155" s="22">
        <f t="shared" si="243"/>
        <v>1500</v>
      </c>
      <c r="AN155" s="106">
        <f t="shared" si="244"/>
        <v>0.1</v>
      </c>
      <c r="AO155" s="184">
        <f t="shared" si="151"/>
        <v>230228</v>
      </c>
    </row>
    <row r="156" spans="1:41" x14ac:dyDescent="0.2">
      <c r="A156" s="3" t="s">
        <v>296</v>
      </c>
      <c r="B156" s="3" t="s">
        <v>296</v>
      </c>
      <c r="C156" s="55">
        <v>2061</v>
      </c>
      <c r="D156" s="79">
        <v>62.363300000000002</v>
      </c>
      <c r="E156" s="79">
        <v>17.531099999999999</v>
      </c>
      <c r="F156" s="14">
        <v>8195</v>
      </c>
      <c r="G156" s="10">
        <v>0</v>
      </c>
      <c r="H156" s="122">
        <v>3</v>
      </c>
      <c r="I156" s="120">
        <v>-0.75800000000000001</v>
      </c>
      <c r="J156" s="106">
        <v>0.94199999999999995</v>
      </c>
      <c r="K156" s="106">
        <v>-5.0000000000000001E-3</v>
      </c>
      <c r="L156" s="100">
        <v>0.26369999999999999</v>
      </c>
      <c r="M156" s="79">
        <v>9.74E-2</v>
      </c>
      <c r="N156" s="79">
        <v>0.1</v>
      </c>
      <c r="O156" s="14">
        <v>180</v>
      </c>
      <c r="P156" s="14">
        <v>60</v>
      </c>
      <c r="Q156" s="11">
        <v>1E-3</v>
      </c>
      <c r="R156" s="14">
        <v>3</v>
      </c>
      <c r="S156" s="14">
        <v>1500</v>
      </c>
      <c r="T156" s="11">
        <v>0.1</v>
      </c>
      <c r="U156" s="122">
        <v>259363</v>
      </c>
      <c r="V156" s="35"/>
      <c r="W156" s="99">
        <f t="shared" si="194"/>
        <v>2061</v>
      </c>
      <c r="X156" s="100">
        <f t="shared" si="195"/>
        <v>62.363300000000002</v>
      </c>
      <c r="Y156" s="100">
        <f t="shared" si="196"/>
        <v>17.531099999999999</v>
      </c>
      <c r="Z156" s="22">
        <f t="shared" si="197"/>
        <v>8195</v>
      </c>
      <c r="AA156" s="35">
        <f t="shared" si="198"/>
        <v>0</v>
      </c>
      <c r="AB156" s="22">
        <f t="shared" si="199"/>
        <v>3</v>
      </c>
      <c r="AC156" s="120">
        <f>ROUND(I156+mwreg!$G$21/100,3)</f>
        <v>-0.751</v>
      </c>
      <c r="AD156" s="106">
        <f>ROUND(J156+mwreg!$G$21/100,3)</f>
        <v>0.94899999999999995</v>
      </c>
      <c r="AE156" s="106">
        <f>ROUND(K156+mwreg!$G$21/100,3)</f>
        <v>2E-3</v>
      </c>
      <c r="AF156" s="100">
        <f t="shared" si="203"/>
        <v>0.26369999999999999</v>
      </c>
      <c r="AG156" s="100">
        <f t="shared" si="204"/>
        <v>9.74E-2</v>
      </c>
      <c r="AH156" s="100">
        <f t="shared" si="238"/>
        <v>0.1</v>
      </c>
      <c r="AI156" s="22">
        <f t="shared" si="239"/>
        <v>180</v>
      </c>
      <c r="AJ156" s="22">
        <f t="shared" si="240"/>
        <v>60</v>
      </c>
      <c r="AK156" s="106">
        <f t="shared" si="241"/>
        <v>1E-3</v>
      </c>
      <c r="AL156" s="22">
        <f t="shared" si="242"/>
        <v>3</v>
      </c>
      <c r="AM156" s="22">
        <f t="shared" si="243"/>
        <v>1500</v>
      </c>
      <c r="AN156" s="106">
        <f t="shared" si="244"/>
        <v>0.1</v>
      </c>
      <c r="AO156" s="184">
        <f t="shared" si="151"/>
        <v>259363</v>
      </c>
    </row>
    <row r="157" spans="1:41" x14ac:dyDescent="0.2">
      <c r="A157" s="3" t="s">
        <v>296</v>
      </c>
      <c r="B157" s="3" t="s">
        <v>296</v>
      </c>
      <c r="C157" s="55">
        <v>2061</v>
      </c>
      <c r="D157" s="79">
        <v>62.363300000000002</v>
      </c>
      <c r="E157" s="79">
        <v>17.531099999999999</v>
      </c>
      <c r="F157" s="14">
        <v>8195</v>
      </c>
      <c r="G157" s="10">
        <v>0</v>
      </c>
      <c r="H157" s="122">
        <v>4</v>
      </c>
      <c r="I157" s="120">
        <v>-0.82</v>
      </c>
      <c r="J157" s="106">
        <v>0.64900000000000002</v>
      </c>
      <c r="K157" s="106">
        <v>-0.121</v>
      </c>
      <c r="L157" s="100">
        <v>0.17399999999999999</v>
      </c>
      <c r="M157" s="79">
        <v>6.2700000000000006E-2</v>
      </c>
      <c r="N157" s="79">
        <v>6.5000000000000002E-2</v>
      </c>
      <c r="O157" s="14">
        <v>180</v>
      </c>
      <c r="P157" s="14">
        <v>60</v>
      </c>
      <c r="Q157" s="11">
        <v>1E-3</v>
      </c>
      <c r="R157" s="14">
        <v>3</v>
      </c>
      <c r="S157" s="14">
        <v>1500</v>
      </c>
      <c r="T157" s="11">
        <v>0.1</v>
      </c>
      <c r="U157" s="122">
        <v>275718</v>
      </c>
      <c r="V157" s="35"/>
      <c r="W157" s="99">
        <f t="shared" si="194"/>
        <v>2061</v>
      </c>
      <c r="X157" s="100">
        <f t="shared" si="195"/>
        <v>62.363300000000002</v>
      </c>
      <c r="Y157" s="100">
        <f t="shared" si="196"/>
        <v>17.531099999999999</v>
      </c>
      <c r="Z157" s="22">
        <f t="shared" si="197"/>
        <v>8195</v>
      </c>
      <c r="AA157" s="35">
        <f t="shared" si="198"/>
        <v>0</v>
      </c>
      <c r="AB157" s="22">
        <f t="shared" si="199"/>
        <v>4</v>
      </c>
      <c r="AC157" s="120">
        <f>ROUND(I157+mwreg!$G$21/100,3)</f>
        <v>-0.81299999999999994</v>
      </c>
      <c r="AD157" s="106">
        <f>ROUND(J157+mwreg!$G$21/100,3)</f>
        <v>0.65600000000000003</v>
      </c>
      <c r="AE157" s="106">
        <f>ROUND(K157+mwreg!$G$21/100,3)</f>
        <v>-0.114</v>
      </c>
      <c r="AF157" s="100">
        <f t="shared" si="203"/>
        <v>0.17399999999999999</v>
      </c>
      <c r="AG157" s="100">
        <f t="shared" si="204"/>
        <v>6.2700000000000006E-2</v>
      </c>
      <c r="AH157" s="100">
        <f t="shared" si="238"/>
        <v>6.5000000000000002E-2</v>
      </c>
      <c r="AI157" s="22">
        <f t="shared" si="239"/>
        <v>180</v>
      </c>
      <c r="AJ157" s="22">
        <f t="shared" si="240"/>
        <v>60</v>
      </c>
      <c r="AK157" s="106">
        <f t="shared" si="241"/>
        <v>1E-3</v>
      </c>
      <c r="AL157" s="22">
        <f t="shared" si="242"/>
        <v>3</v>
      </c>
      <c r="AM157" s="22">
        <f t="shared" si="243"/>
        <v>1500</v>
      </c>
      <c r="AN157" s="106">
        <f t="shared" si="244"/>
        <v>0.1</v>
      </c>
      <c r="AO157" s="184">
        <f t="shared" si="151"/>
        <v>275718</v>
      </c>
    </row>
    <row r="158" spans="1:41" x14ac:dyDescent="0.2">
      <c r="A158" s="3" t="s">
        <v>296</v>
      </c>
      <c r="B158" s="3" t="s">
        <v>296</v>
      </c>
      <c r="C158" s="55">
        <v>2061</v>
      </c>
      <c r="D158" s="79">
        <v>62.363300000000002</v>
      </c>
      <c r="E158" s="79">
        <v>17.531099999999999</v>
      </c>
      <c r="F158" s="14">
        <v>8195</v>
      </c>
      <c r="G158" s="10">
        <v>0</v>
      </c>
      <c r="H158" s="122">
        <v>5</v>
      </c>
      <c r="I158" s="120">
        <v>-0.755</v>
      </c>
      <c r="J158" s="106">
        <v>0.36099999999999999</v>
      </c>
      <c r="K158" s="106">
        <v>-0.1</v>
      </c>
      <c r="L158" s="100">
        <v>0.14660000000000001</v>
      </c>
      <c r="M158" s="79">
        <v>4.2700000000000002E-2</v>
      </c>
      <c r="N158" s="79">
        <v>4.4999999999999998E-2</v>
      </c>
      <c r="O158" s="14">
        <v>180</v>
      </c>
      <c r="P158" s="14">
        <v>60</v>
      </c>
      <c r="Q158" s="11">
        <v>1E-3</v>
      </c>
      <c r="R158" s="14">
        <v>3</v>
      </c>
      <c r="S158" s="14">
        <v>1500</v>
      </c>
      <c r="T158" s="11">
        <v>0.1</v>
      </c>
      <c r="U158" s="122">
        <v>295587</v>
      </c>
      <c r="V158" s="35"/>
      <c r="W158" s="99">
        <f t="shared" ref="W158:W177" si="245">C158</f>
        <v>2061</v>
      </c>
      <c r="X158" s="100">
        <f t="shared" ref="X158:X177" si="246">D158</f>
        <v>62.363300000000002</v>
      </c>
      <c r="Y158" s="100">
        <f t="shared" ref="Y158:Y177" si="247">E158</f>
        <v>17.531099999999999</v>
      </c>
      <c r="Z158" s="22">
        <f t="shared" ref="Z158:Z177" si="248">F158</f>
        <v>8195</v>
      </c>
      <c r="AA158" s="35">
        <f t="shared" ref="AA158:AA177" si="249">G158</f>
        <v>0</v>
      </c>
      <c r="AB158" s="22">
        <f t="shared" ref="AB158:AB177" si="250">H158</f>
        <v>5</v>
      </c>
      <c r="AC158" s="120">
        <f>ROUND(I158+mwreg!$G$21/100,3)</f>
        <v>-0.748</v>
      </c>
      <c r="AD158" s="106">
        <f>ROUND(J158+mwreg!$G$21/100,3)</f>
        <v>0.36799999999999999</v>
      </c>
      <c r="AE158" s="106">
        <f>ROUND(K158+mwreg!$G$21/100,3)</f>
        <v>-9.2999999999999999E-2</v>
      </c>
      <c r="AF158" s="100">
        <f t="shared" si="203"/>
        <v>0.14660000000000001</v>
      </c>
      <c r="AG158" s="100">
        <f t="shared" si="204"/>
        <v>4.2700000000000002E-2</v>
      </c>
      <c r="AH158" s="100">
        <f t="shared" si="238"/>
        <v>4.4999999999999998E-2</v>
      </c>
      <c r="AI158" s="22">
        <f t="shared" si="239"/>
        <v>180</v>
      </c>
      <c r="AJ158" s="22">
        <f t="shared" si="240"/>
        <v>60</v>
      </c>
      <c r="AK158" s="106">
        <f t="shared" si="241"/>
        <v>1E-3</v>
      </c>
      <c r="AL158" s="22">
        <f t="shared" si="242"/>
        <v>3</v>
      </c>
      <c r="AM158" s="22">
        <f t="shared" si="243"/>
        <v>1500</v>
      </c>
      <c r="AN158" s="106">
        <f t="shared" si="244"/>
        <v>0.1</v>
      </c>
      <c r="AO158" s="184">
        <f t="shared" si="151"/>
        <v>295587</v>
      </c>
    </row>
    <row r="159" spans="1:41" x14ac:dyDescent="0.2">
      <c r="A159" s="3" t="s">
        <v>296</v>
      </c>
      <c r="B159" s="3" t="s">
        <v>296</v>
      </c>
      <c r="C159" s="55">
        <v>2061</v>
      </c>
      <c r="D159" s="79">
        <v>62.363300000000002</v>
      </c>
      <c r="E159" s="79">
        <v>17.531099999999999</v>
      </c>
      <c r="F159" s="14">
        <v>8195</v>
      </c>
      <c r="G159" s="10">
        <v>0</v>
      </c>
      <c r="H159" s="122">
        <v>6</v>
      </c>
      <c r="I159" s="120">
        <v>-0.51700000000000002</v>
      </c>
      <c r="J159" s="106">
        <v>0.441</v>
      </c>
      <c r="K159" s="106">
        <v>-7.2999999999999995E-2</v>
      </c>
      <c r="L159" s="100">
        <v>0.1303</v>
      </c>
      <c r="M159" s="79">
        <v>4.2799999999999998E-2</v>
      </c>
      <c r="N159" s="79">
        <v>4.4999999999999998E-2</v>
      </c>
      <c r="O159" s="14">
        <v>180</v>
      </c>
      <c r="P159" s="14">
        <v>60</v>
      </c>
      <c r="Q159" s="11">
        <v>1E-3</v>
      </c>
      <c r="R159" s="14">
        <v>3</v>
      </c>
      <c r="S159" s="14">
        <v>1500</v>
      </c>
      <c r="T159" s="11">
        <v>0.1</v>
      </c>
      <c r="U159" s="122">
        <v>281448</v>
      </c>
      <c r="V159" s="35"/>
      <c r="W159" s="99">
        <f t="shared" si="245"/>
        <v>2061</v>
      </c>
      <c r="X159" s="100">
        <f t="shared" si="246"/>
        <v>62.363300000000002</v>
      </c>
      <c r="Y159" s="100">
        <f t="shared" si="247"/>
        <v>17.531099999999999</v>
      </c>
      <c r="Z159" s="22">
        <f t="shared" si="248"/>
        <v>8195</v>
      </c>
      <c r="AA159" s="35">
        <f t="shared" si="249"/>
        <v>0</v>
      </c>
      <c r="AB159" s="22">
        <f t="shared" si="250"/>
        <v>6</v>
      </c>
      <c r="AC159" s="120">
        <f>ROUND(I159+mwreg!$G$21/100,3)</f>
        <v>-0.51</v>
      </c>
      <c r="AD159" s="106">
        <f>ROUND(J159+mwreg!$G$21/100,3)</f>
        <v>0.44800000000000001</v>
      </c>
      <c r="AE159" s="106">
        <f>ROUND(K159+mwreg!$G$21/100,3)</f>
        <v>-6.6000000000000003E-2</v>
      </c>
      <c r="AF159" s="100">
        <f t="shared" si="203"/>
        <v>0.1303</v>
      </c>
      <c r="AG159" s="100">
        <f t="shared" si="204"/>
        <v>4.2799999999999998E-2</v>
      </c>
      <c r="AH159" s="100">
        <f t="shared" si="238"/>
        <v>4.4999999999999998E-2</v>
      </c>
      <c r="AI159" s="22">
        <f t="shared" si="239"/>
        <v>180</v>
      </c>
      <c r="AJ159" s="22">
        <f t="shared" si="240"/>
        <v>60</v>
      </c>
      <c r="AK159" s="106">
        <f t="shared" si="241"/>
        <v>1E-3</v>
      </c>
      <c r="AL159" s="22">
        <f t="shared" si="242"/>
        <v>3</v>
      </c>
      <c r="AM159" s="22">
        <f t="shared" si="243"/>
        <v>1500</v>
      </c>
      <c r="AN159" s="106">
        <f t="shared" si="244"/>
        <v>0.1</v>
      </c>
      <c r="AO159" s="184">
        <f t="shared" si="151"/>
        <v>281448</v>
      </c>
    </row>
    <row r="160" spans="1:41" x14ac:dyDescent="0.2">
      <c r="A160" s="3" t="s">
        <v>296</v>
      </c>
      <c r="B160" s="3" t="s">
        <v>296</v>
      </c>
      <c r="C160" s="55">
        <v>2061</v>
      </c>
      <c r="D160" s="79">
        <v>62.363300000000002</v>
      </c>
      <c r="E160" s="79">
        <v>17.531099999999999</v>
      </c>
      <c r="F160" s="14">
        <v>8195</v>
      </c>
      <c r="G160" s="10">
        <v>0</v>
      </c>
      <c r="H160" s="122">
        <v>7</v>
      </c>
      <c r="I160" s="120">
        <v>-0.374</v>
      </c>
      <c r="J160" s="106">
        <v>0.47699999999999998</v>
      </c>
      <c r="K160" s="106">
        <v>3.5000000000000003E-2</v>
      </c>
      <c r="L160" s="100">
        <v>0.1285</v>
      </c>
      <c r="M160" s="79">
        <v>6.2799999999999995E-2</v>
      </c>
      <c r="N160" s="79">
        <v>6.5000000000000002E-2</v>
      </c>
      <c r="O160" s="14">
        <v>180</v>
      </c>
      <c r="P160" s="14">
        <v>60</v>
      </c>
      <c r="Q160" s="11">
        <v>1E-3</v>
      </c>
      <c r="R160" s="14">
        <v>3</v>
      </c>
      <c r="S160" s="14">
        <v>1500</v>
      </c>
      <c r="T160" s="11">
        <v>0.1</v>
      </c>
      <c r="U160" s="122">
        <v>293758</v>
      </c>
      <c r="V160" s="35"/>
      <c r="W160" s="99">
        <f t="shared" si="245"/>
        <v>2061</v>
      </c>
      <c r="X160" s="100">
        <f t="shared" si="246"/>
        <v>62.363300000000002</v>
      </c>
      <c r="Y160" s="100">
        <f t="shared" si="247"/>
        <v>17.531099999999999</v>
      </c>
      <c r="Z160" s="22">
        <f t="shared" si="248"/>
        <v>8195</v>
      </c>
      <c r="AA160" s="35">
        <f t="shared" si="249"/>
        <v>0</v>
      </c>
      <c r="AB160" s="22">
        <f t="shared" si="250"/>
        <v>7</v>
      </c>
      <c r="AC160" s="120">
        <f>ROUND(I160+mwreg!$G$21/100,3)</f>
        <v>-0.36699999999999999</v>
      </c>
      <c r="AD160" s="106">
        <f>ROUND(J160+mwreg!$G$21/100,3)</f>
        <v>0.48399999999999999</v>
      </c>
      <c r="AE160" s="106">
        <f>ROUND(K160+mwreg!$G$21/100,3)</f>
        <v>4.2000000000000003E-2</v>
      </c>
      <c r="AF160" s="100">
        <f t="shared" si="203"/>
        <v>0.1285</v>
      </c>
      <c r="AG160" s="100">
        <f t="shared" si="204"/>
        <v>6.2799999999999995E-2</v>
      </c>
      <c r="AH160" s="100">
        <f t="shared" si="238"/>
        <v>6.5000000000000002E-2</v>
      </c>
      <c r="AI160" s="22">
        <f t="shared" si="239"/>
        <v>180</v>
      </c>
      <c r="AJ160" s="22">
        <f t="shared" si="240"/>
        <v>60</v>
      </c>
      <c r="AK160" s="106">
        <f t="shared" si="241"/>
        <v>1E-3</v>
      </c>
      <c r="AL160" s="22">
        <f t="shared" si="242"/>
        <v>3</v>
      </c>
      <c r="AM160" s="22">
        <f t="shared" si="243"/>
        <v>1500</v>
      </c>
      <c r="AN160" s="106">
        <f t="shared" si="244"/>
        <v>0.1</v>
      </c>
      <c r="AO160" s="184">
        <f t="shared" si="151"/>
        <v>293758</v>
      </c>
    </row>
    <row r="161" spans="1:41" x14ac:dyDescent="0.2">
      <c r="A161" s="3" t="s">
        <v>296</v>
      </c>
      <c r="B161" s="3" t="s">
        <v>296</v>
      </c>
      <c r="C161" s="55">
        <v>2061</v>
      </c>
      <c r="D161" s="79">
        <v>62.363300000000002</v>
      </c>
      <c r="E161" s="79">
        <v>17.531099999999999</v>
      </c>
      <c r="F161" s="14">
        <v>8195</v>
      </c>
      <c r="G161" s="10">
        <v>0</v>
      </c>
      <c r="H161" s="122">
        <v>8</v>
      </c>
      <c r="I161" s="120">
        <v>-0.58499999999999996</v>
      </c>
      <c r="J161" s="106">
        <v>0.71</v>
      </c>
      <c r="K161" s="106">
        <v>2.5999999999999999E-2</v>
      </c>
      <c r="L161" s="100">
        <v>0.12039999999999999</v>
      </c>
      <c r="M161" s="79">
        <v>4.58E-2</v>
      </c>
      <c r="N161" s="79">
        <v>4.8000000000000001E-2</v>
      </c>
      <c r="O161" s="14">
        <v>180</v>
      </c>
      <c r="P161" s="14">
        <v>60</v>
      </c>
      <c r="Q161" s="11">
        <v>1E-3</v>
      </c>
      <c r="R161" s="14">
        <v>3</v>
      </c>
      <c r="S161" s="14">
        <v>1500</v>
      </c>
      <c r="T161" s="11">
        <v>0.1</v>
      </c>
      <c r="U161" s="122">
        <v>286953</v>
      </c>
      <c r="V161" s="35"/>
      <c r="W161" s="99">
        <f t="shared" si="245"/>
        <v>2061</v>
      </c>
      <c r="X161" s="100">
        <f t="shared" si="246"/>
        <v>62.363300000000002</v>
      </c>
      <c r="Y161" s="100">
        <f t="shared" si="247"/>
        <v>17.531099999999999</v>
      </c>
      <c r="Z161" s="22">
        <f t="shared" si="248"/>
        <v>8195</v>
      </c>
      <c r="AA161" s="35">
        <f t="shared" si="249"/>
        <v>0</v>
      </c>
      <c r="AB161" s="22">
        <f t="shared" si="250"/>
        <v>8</v>
      </c>
      <c r="AC161" s="120">
        <f>ROUND(I161+mwreg!$G$21/100,3)</f>
        <v>-0.57799999999999996</v>
      </c>
      <c r="AD161" s="106">
        <f>ROUND(J161+mwreg!$G$21/100,3)</f>
        <v>0.71699999999999997</v>
      </c>
      <c r="AE161" s="106">
        <f>ROUND(K161+mwreg!$G$21/100,3)</f>
        <v>3.3000000000000002E-2</v>
      </c>
      <c r="AF161" s="100">
        <f t="shared" si="203"/>
        <v>0.12039999999999999</v>
      </c>
      <c r="AG161" s="100">
        <f t="shared" si="204"/>
        <v>4.58E-2</v>
      </c>
      <c r="AH161" s="100">
        <f t="shared" si="238"/>
        <v>4.8000000000000001E-2</v>
      </c>
      <c r="AI161" s="22">
        <f t="shared" si="239"/>
        <v>180</v>
      </c>
      <c r="AJ161" s="22">
        <f t="shared" si="240"/>
        <v>60</v>
      </c>
      <c r="AK161" s="106">
        <f t="shared" si="241"/>
        <v>1E-3</v>
      </c>
      <c r="AL161" s="22">
        <f t="shared" si="242"/>
        <v>3</v>
      </c>
      <c r="AM161" s="22">
        <f t="shared" si="243"/>
        <v>1500</v>
      </c>
      <c r="AN161" s="106">
        <f t="shared" si="244"/>
        <v>0.1</v>
      </c>
      <c r="AO161" s="184">
        <f t="shared" si="151"/>
        <v>286953</v>
      </c>
    </row>
    <row r="162" spans="1:41" x14ac:dyDescent="0.2">
      <c r="A162" s="3" t="s">
        <v>296</v>
      </c>
      <c r="B162" s="3" t="s">
        <v>296</v>
      </c>
      <c r="C162" s="55">
        <v>2061</v>
      </c>
      <c r="D162" s="79">
        <v>62.363300000000002</v>
      </c>
      <c r="E162" s="79">
        <v>17.531099999999999</v>
      </c>
      <c r="F162" s="14">
        <v>8195</v>
      </c>
      <c r="G162" s="10">
        <v>0</v>
      </c>
      <c r="H162" s="122">
        <v>9</v>
      </c>
      <c r="I162" s="120">
        <v>-0.67300000000000004</v>
      </c>
      <c r="J162" s="106">
        <v>0.63</v>
      </c>
      <c r="K162" s="106">
        <v>6.7000000000000004E-2</v>
      </c>
      <c r="L162" s="100">
        <v>0.15290000000000001</v>
      </c>
      <c r="M162" s="79">
        <v>5.4100000000000002E-2</v>
      </c>
      <c r="N162" s="79">
        <v>5.7000000000000002E-2</v>
      </c>
      <c r="O162" s="14">
        <v>180</v>
      </c>
      <c r="P162" s="14">
        <v>60</v>
      </c>
      <c r="Q162" s="11">
        <v>1E-3</v>
      </c>
      <c r="R162" s="14">
        <v>3</v>
      </c>
      <c r="S162" s="14">
        <v>1500</v>
      </c>
      <c r="T162" s="11">
        <v>0.1</v>
      </c>
      <c r="U162" s="122">
        <v>277180</v>
      </c>
      <c r="V162" s="35"/>
      <c r="W162" s="99">
        <f t="shared" si="245"/>
        <v>2061</v>
      </c>
      <c r="X162" s="100">
        <f t="shared" si="246"/>
        <v>62.363300000000002</v>
      </c>
      <c r="Y162" s="100">
        <f t="shared" si="247"/>
        <v>17.531099999999999</v>
      </c>
      <c r="Z162" s="22">
        <f t="shared" si="248"/>
        <v>8195</v>
      </c>
      <c r="AA162" s="35">
        <f t="shared" si="249"/>
        <v>0</v>
      </c>
      <c r="AB162" s="22">
        <f t="shared" si="250"/>
        <v>9</v>
      </c>
      <c r="AC162" s="120">
        <f>ROUND(I162+mwreg!$G$21/100,3)</f>
        <v>-0.66600000000000004</v>
      </c>
      <c r="AD162" s="106">
        <f>ROUND(J162+mwreg!$G$21/100,3)</f>
        <v>0.63700000000000001</v>
      </c>
      <c r="AE162" s="106">
        <f>ROUND(K162+mwreg!$G$21/100,3)</f>
        <v>7.3999999999999996E-2</v>
      </c>
      <c r="AF162" s="100">
        <f t="shared" si="203"/>
        <v>0.15290000000000001</v>
      </c>
      <c r="AG162" s="100">
        <f t="shared" si="204"/>
        <v>5.4100000000000002E-2</v>
      </c>
      <c r="AH162" s="100">
        <f t="shared" si="238"/>
        <v>5.7000000000000002E-2</v>
      </c>
      <c r="AI162" s="22">
        <f t="shared" si="239"/>
        <v>180</v>
      </c>
      <c r="AJ162" s="22">
        <f t="shared" si="240"/>
        <v>60</v>
      </c>
      <c r="AK162" s="106">
        <f t="shared" si="241"/>
        <v>1E-3</v>
      </c>
      <c r="AL162" s="22">
        <f t="shared" si="242"/>
        <v>3</v>
      </c>
      <c r="AM162" s="22">
        <f t="shared" si="243"/>
        <v>1500</v>
      </c>
      <c r="AN162" s="106">
        <f t="shared" si="244"/>
        <v>0.1</v>
      </c>
      <c r="AO162" s="184">
        <f t="shared" ref="AO162:AO237" si="251">U162</f>
        <v>277180</v>
      </c>
    </row>
    <row r="163" spans="1:41" x14ac:dyDescent="0.2">
      <c r="A163" s="3" t="s">
        <v>296</v>
      </c>
      <c r="B163" s="3" t="s">
        <v>296</v>
      </c>
      <c r="C163" s="55">
        <v>2061</v>
      </c>
      <c r="D163" s="79">
        <v>62.363300000000002</v>
      </c>
      <c r="E163" s="79">
        <v>17.531099999999999</v>
      </c>
      <c r="F163" s="14">
        <v>8195</v>
      </c>
      <c r="G163" s="10">
        <v>0</v>
      </c>
      <c r="H163" s="122">
        <v>10</v>
      </c>
      <c r="I163" s="120">
        <v>-0.76300000000000001</v>
      </c>
      <c r="J163" s="106">
        <v>0.82199999999999995</v>
      </c>
      <c r="K163" s="106">
        <v>6.3E-2</v>
      </c>
      <c r="L163" s="100">
        <v>0.1966</v>
      </c>
      <c r="M163" s="79">
        <v>4.6399999999999997E-2</v>
      </c>
      <c r="N163" s="79">
        <v>4.9000000000000002E-2</v>
      </c>
      <c r="O163" s="14">
        <v>180</v>
      </c>
      <c r="P163" s="14">
        <v>60</v>
      </c>
      <c r="Q163" s="11">
        <v>1E-3</v>
      </c>
      <c r="R163" s="14">
        <v>3</v>
      </c>
      <c r="S163" s="14">
        <v>1500</v>
      </c>
      <c r="T163" s="11">
        <v>0.1</v>
      </c>
      <c r="U163" s="122">
        <v>292763</v>
      </c>
      <c r="V163" s="35"/>
      <c r="W163" s="99">
        <f t="shared" si="245"/>
        <v>2061</v>
      </c>
      <c r="X163" s="100">
        <f t="shared" si="246"/>
        <v>62.363300000000002</v>
      </c>
      <c r="Y163" s="100">
        <f t="shared" si="247"/>
        <v>17.531099999999999</v>
      </c>
      <c r="Z163" s="22">
        <f t="shared" si="248"/>
        <v>8195</v>
      </c>
      <c r="AA163" s="35">
        <f t="shared" si="249"/>
        <v>0</v>
      </c>
      <c r="AB163" s="22">
        <f t="shared" si="250"/>
        <v>10</v>
      </c>
      <c r="AC163" s="120">
        <f>ROUND(I163+mwreg!$G$21/100,3)</f>
        <v>-0.75600000000000001</v>
      </c>
      <c r="AD163" s="106">
        <f>ROUND(J163+mwreg!$G$21/100,3)</f>
        <v>0.82899999999999996</v>
      </c>
      <c r="AE163" s="106">
        <f>ROUND(K163+mwreg!$G$21/100,3)</f>
        <v>7.0000000000000007E-2</v>
      </c>
      <c r="AF163" s="100">
        <f t="shared" si="203"/>
        <v>0.1966</v>
      </c>
      <c r="AG163" s="100">
        <f t="shared" si="204"/>
        <v>4.6399999999999997E-2</v>
      </c>
      <c r="AH163" s="100">
        <f t="shared" si="238"/>
        <v>4.9000000000000002E-2</v>
      </c>
      <c r="AI163" s="22">
        <f t="shared" si="239"/>
        <v>180</v>
      </c>
      <c r="AJ163" s="22">
        <f t="shared" si="240"/>
        <v>60</v>
      </c>
      <c r="AK163" s="106">
        <f t="shared" si="241"/>
        <v>1E-3</v>
      </c>
      <c r="AL163" s="22">
        <f t="shared" si="242"/>
        <v>3</v>
      </c>
      <c r="AM163" s="22">
        <f t="shared" si="243"/>
        <v>1500</v>
      </c>
      <c r="AN163" s="106">
        <f t="shared" si="244"/>
        <v>0.1</v>
      </c>
      <c r="AO163" s="184">
        <f t="shared" si="251"/>
        <v>292763</v>
      </c>
    </row>
    <row r="164" spans="1:41" x14ac:dyDescent="0.2">
      <c r="A164" s="3" t="s">
        <v>296</v>
      </c>
      <c r="B164" s="3" t="s">
        <v>296</v>
      </c>
      <c r="C164" s="55">
        <v>2061</v>
      </c>
      <c r="D164" s="79">
        <v>62.363300000000002</v>
      </c>
      <c r="E164" s="79">
        <v>17.531099999999999</v>
      </c>
      <c r="F164" s="14">
        <v>8195</v>
      </c>
      <c r="G164" s="10">
        <v>0</v>
      </c>
      <c r="H164" s="122">
        <v>11</v>
      </c>
      <c r="I164" s="120">
        <v>-0.93799999999999994</v>
      </c>
      <c r="J164" s="106">
        <v>0.94599999999999995</v>
      </c>
      <c r="K164" s="106">
        <v>5.8999999999999997E-2</v>
      </c>
      <c r="L164" s="100">
        <v>0.22059999999999999</v>
      </c>
      <c r="M164" s="79">
        <v>4.3900000000000002E-2</v>
      </c>
      <c r="N164" s="79">
        <v>4.7E-2</v>
      </c>
      <c r="O164" s="14">
        <v>180</v>
      </c>
      <c r="P164" s="14">
        <v>60</v>
      </c>
      <c r="Q164" s="11">
        <v>1E-3</v>
      </c>
      <c r="R164" s="14">
        <v>3</v>
      </c>
      <c r="S164" s="14">
        <v>1500</v>
      </c>
      <c r="T164" s="11">
        <v>0.1</v>
      </c>
      <c r="U164" s="122">
        <v>288233</v>
      </c>
      <c r="V164" s="35"/>
      <c r="W164" s="99">
        <f t="shared" si="245"/>
        <v>2061</v>
      </c>
      <c r="X164" s="100">
        <f t="shared" si="246"/>
        <v>62.363300000000002</v>
      </c>
      <c r="Y164" s="100">
        <f t="shared" si="247"/>
        <v>17.531099999999999</v>
      </c>
      <c r="Z164" s="22">
        <f t="shared" si="248"/>
        <v>8195</v>
      </c>
      <c r="AA164" s="35">
        <f t="shared" si="249"/>
        <v>0</v>
      </c>
      <c r="AB164" s="22">
        <f t="shared" si="250"/>
        <v>11</v>
      </c>
      <c r="AC164" s="120">
        <f>ROUND(I164+mwreg!$G$21/100,3)</f>
        <v>-0.93100000000000005</v>
      </c>
      <c r="AD164" s="106">
        <f>ROUND(J164+mwreg!$G$21/100,3)</f>
        <v>0.95299999999999996</v>
      </c>
      <c r="AE164" s="106">
        <f>ROUND(K164+mwreg!$G$21/100,3)</f>
        <v>6.6000000000000003E-2</v>
      </c>
      <c r="AF164" s="100">
        <f t="shared" si="203"/>
        <v>0.22059999999999999</v>
      </c>
      <c r="AG164" s="100">
        <f t="shared" si="204"/>
        <v>4.3900000000000002E-2</v>
      </c>
      <c r="AH164" s="100">
        <f t="shared" si="238"/>
        <v>4.7E-2</v>
      </c>
      <c r="AI164" s="22">
        <f t="shared" si="239"/>
        <v>180</v>
      </c>
      <c r="AJ164" s="22">
        <f t="shared" si="240"/>
        <v>60</v>
      </c>
      <c r="AK164" s="106">
        <f t="shared" si="241"/>
        <v>1E-3</v>
      </c>
      <c r="AL164" s="22">
        <f t="shared" si="242"/>
        <v>3</v>
      </c>
      <c r="AM164" s="22">
        <f t="shared" si="243"/>
        <v>1500</v>
      </c>
      <c r="AN164" s="106">
        <f t="shared" si="244"/>
        <v>0.1</v>
      </c>
      <c r="AO164" s="184">
        <f t="shared" si="251"/>
        <v>288233</v>
      </c>
    </row>
    <row r="165" spans="1:41" x14ac:dyDescent="0.2">
      <c r="A165" s="3" t="s">
        <v>296</v>
      </c>
      <c r="B165" s="3" t="s">
        <v>296</v>
      </c>
      <c r="C165" s="55">
        <v>2061</v>
      </c>
      <c r="D165" s="79">
        <v>62.363300000000002</v>
      </c>
      <c r="E165" s="79">
        <v>17.531099999999999</v>
      </c>
      <c r="F165" s="14">
        <v>8195</v>
      </c>
      <c r="G165" s="10">
        <v>0</v>
      </c>
      <c r="H165" s="122">
        <v>12</v>
      </c>
      <c r="I165" s="120">
        <v>-0.73499999999999999</v>
      </c>
      <c r="J165" s="106">
        <v>1.204</v>
      </c>
      <c r="K165" s="106">
        <v>0.115</v>
      </c>
      <c r="L165" s="100">
        <v>0.23710000000000001</v>
      </c>
      <c r="M165" s="79">
        <v>4.4999999999999998E-2</v>
      </c>
      <c r="N165" s="79">
        <v>4.8000000000000001E-2</v>
      </c>
      <c r="O165" s="14">
        <v>180</v>
      </c>
      <c r="P165" s="14">
        <v>60</v>
      </c>
      <c r="Q165" s="11">
        <v>1E-3</v>
      </c>
      <c r="R165" s="14">
        <v>3</v>
      </c>
      <c r="S165" s="14">
        <v>1500</v>
      </c>
      <c r="T165" s="11">
        <v>0.1</v>
      </c>
      <c r="U165" s="122">
        <v>259182</v>
      </c>
      <c r="V165" s="35"/>
      <c r="W165" s="99">
        <f t="shared" si="245"/>
        <v>2061</v>
      </c>
      <c r="X165" s="100">
        <f t="shared" si="246"/>
        <v>62.363300000000002</v>
      </c>
      <c r="Y165" s="100">
        <f t="shared" si="247"/>
        <v>17.531099999999999</v>
      </c>
      <c r="Z165" s="22">
        <f t="shared" si="248"/>
        <v>8195</v>
      </c>
      <c r="AA165" s="35">
        <f t="shared" si="249"/>
        <v>0</v>
      </c>
      <c r="AB165" s="22">
        <f t="shared" si="250"/>
        <v>12</v>
      </c>
      <c r="AC165" s="120">
        <f>ROUND(I165+mwreg!$G$21/100,3)</f>
        <v>-0.72799999999999998</v>
      </c>
      <c r="AD165" s="106">
        <f>ROUND(J165+mwreg!$G$21/100,3)</f>
        <v>1.2110000000000001</v>
      </c>
      <c r="AE165" s="106">
        <f>ROUND(K165+mwreg!$G$21/100,3)</f>
        <v>0.122</v>
      </c>
      <c r="AF165" s="100">
        <f t="shared" si="203"/>
        <v>0.23710000000000001</v>
      </c>
      <c r="AG165" s="100">
        <f t="shared" si="204"/>
        <v>4.4999999999999998E-2</v>
      </c>
      <c r="AH165" s="100">
        <f t="shared" si="238"/>
        <v>4.8000000000000001E-2</v>
      </c>
      <c r="AI165" s="22">
        <f t="shared" si="239"/>
        <v>180</v>
      </c>
      <c r="AJ165" s="22">
        <f t="shared" si="240"/>
        <v>60</v>
      </c>
      <c r="AK165" s="106">
        <f t="shared" si="241"/>
        <v>1E-3</v>
      </c>
      <c r="AL165" s="22">
        <f t="shared" si="242"/>
        <v>3</v>
      </c>
      <c r="AM165" s="22">
        <f t="shared" si="243"/>
        <v>1500</v>
      </c>
      <c r="AN165" s="106">
        <f t="shared" si="244"/>
        <v>0.1</v>
      </c>
      <c r="AO165" s="184">
        <f t="shared" si="251"/>
        <v>259182</v>
      </c>
    </row>
    <row r="166" spans="1:41" x14ac:dyDescent="0.2">
      <c r="A166" s="3" t="str">
        <f>stat_uppg!A22</f>
        <v>66/35127</v>
      </c>
      <c r="B166" s="3" t="str">
        <f>stat_uppg!B22</f>
        <v>LJUSNE ORRSKÄRSKAJEN (SJÖV)</v>
      </c>
      <c r="C166" s="52">
        <v>35166</v>
      </c>
      <c r="D166" s="105">
        <v>61.211199999999998</v>
      </c>
      <c r="E166" s="105">
        <v>17.164100000000001</v>
      </c>
      <c r="F166" s="20">
        <v>8195</v>
      </c>
      <c r="G166" s="18">
        <v>0</v>
      </c>
      <c r="H166" s="53">
        <v>1</v>
      </c>
      <c r="I166" s="167">
        <f t="shared" ref="I166:K177" si="252">ROUND(0.411*I154+0.589*I202,3)</f>
        <v>-0.78200000000000003</v>
      </c>
      <c r="J166" s="104">
        <f t="shared" si="252"/>
        <v>1.365</v>
      </c>
      <c r="K166" s="104">
        <f t="shared" si="252"/>
        <v>0.14499999999999999</v>
      </c>
      <c r="L166" s="105">
        <f>ROUND(0.411*L154+0.589*L202,4)</f>
        <v>0.27529999999999999</v>
      </c>
      <c r="M166" s="105">
        <f t="shared" ref="M166:N166" si="253">ROUND(0.411*M154+0.589*M202,4)</f>
        <v>2.9000000000000001E-2</v>
      </c>
      <c r="N166" s="105">
        <f t="shared" si="253"/>
        <v>3.1399999999999997E-2</v>
      </c>
      <c r="O166" s="20">
        <f>ROUND(0.411*O154+0.589*O202,0)</f>
        <v>180</v>
      </c>
      <c r="P166" s="20">
        <f>ROUND(0.411*P154+0.589*P202,0)</f>
        <v>60</v>
      </c>
      <c r="Q166" s="104">
        <f>ROUND(0.411*Q154+0.589*Q202,3)</f>
        <v>1E-3</v>
      </c>
      <c r="R166" s="20">
        <f>ROUND(0.411*R154+0.589*R202,0)</f>
        <v>3</v>
      </c>
      <c r="S166" s="20">
        <f>ROUND(0.411*S154+0.589*S202,0)</f>
        <v>1500</v>
      </c>
      <c r="T166" s="104">
        <f>ROUND(0.411*T154+0.589*T202,3)</f>
        <v>0.1</v>
      </c>
      <c r="U166" s="54" t="s">
        <v>282</v>
      </c>
      <c r="V166" s="21"/>
      <c r="W166" s="58">
        <f t="shared" si="245"/>
        <v>35166</v>
      </c>
      <c r="X166" s="102">
        <f t="shared" si="246"/>
        <v>61.211199999999998</v>
      </c>
      <c r="Y166" s="102">
        <f t="shared" si="247"/>
        <v>17.164100000000001</v>
      </c>
      <c r="Z166" s="21">
        <f t="shared" si="248"/>
        <v>8195</v>
      </c>
      <c r="AA166" s="44">
        <f t="shared" si="249"/>
        <v>0</v>
      </c>
      <c r="AB166" s="21">
        <f t="shared" si="250"/>
        <v>1</v>
      </c>
      <c r="AC166" s="121">
        <f>ROUND(I166+mwreg!$G$22/100,3)</f>
        <v>-0.747</v>
      </c>
      <c r="AD166" s="101">
        <f>ROUND(J166+mwreg!$G$22/100,3)</f>
        <v>1.4</v>
      </c>
      <c r="AE166" s="101">
        <f>ROUND(K166+mwreg!$G$22/100,3)</f>
        <v>0.18</v>
      </c>
      <c r="AF166" s="102">
        <f t="shared" si="203"/>
        <v>0.27529999999999999</v>
      </c>
      <c r="AG166" s="102">
        <f t="shared" si="204"/>
        <v>2.9000000000000001E-2</v>
      </c>
      <c r="AH166" s="102">
        <f t="shared" si="238"/>
        <v>3.1399999999999997E-2</v>
      </c>
      <c r="AI166" s="21">
        <f t="shared" si="239"/>
        <v>180</v>
      </c>
      <c r="AJ166" s="21">
        <f t="shared" si="240"/>
        <v>60</v>
      </c>
      <c r="AK166" s="101">
        <f t="shared" si="241"/>
        <v>1E-3</v>
      </c>
      <c r="AL166" s="21">
        <f t="shared" si="242"/>
        <v>3</v>
      </c>
      <c r="AM166" s="21">
        <f t="shared" si="243"/>
        <v>1500</v>
      </c>
      <c r="AN166" s="101">
        <f t="shared" si="244"/>
        <v>0.1</v>
      </c>
      <c r="AO166" s="185" t="str">
        <f t="shared" si="251"/>
        <v>NaN</v>
      </c>
    </row>
    <row r="167" spans="1:41" x14ac:dyDescent="0.2">
      <c r="A167" s="3" t="s">
        <v>296</v>
      </c>
      <c r="B167" s="3" t="s">
        <v>296</v>
      </c>
      <c r="C167" s="52">
        <v>35166</v>
      </c>
      <c r="D167" s="105">
        <v>61.211199999999998</v>
      </c>
      <c r="E167" s="105">
        <v>17.164100000000001</v>
      </c>
      <c r="F167" s="20">
        <v>8195</v>
      </c>
      <c r="G167" s="18">
        <v>0</v>
      </c>
      <c r="H167" s="53">
        <v>2</v>
      </c>
      <c r="I167" s="167">
        <f t="shared" si="252"/>
        <v>-0.71699999999999997</v>
      </c>
      <c r="J167" s="104">
        <f t="shared" si="252"/>
        <v>1.2230000000000001</v>
      </c>
      <c r="K167" s="104">
        <f t="shared" si="252"/>
        <v>8.1000000000000003E-2</v>
      </c>
      <c r="L167" s="105">
        <f t="shared" ref="L167:N177" si="254">ROUND(0.411*L155+0.589*L203,4)</f>
        <v>0.2989</v>
      </c>
      <c r="M167" s="105">
        <f t="shared" si="254"/>
        <v>3.4799999999999998E-2</v>
      </c>
      <c r="N167" s="105">
        <f t="shared" si="254"/>
        <v>3.6999999999999998E-2</v>
      </c>
      <c r="O167" s="20">
        <f t="shared" ref="O167:P167" si="255">ROUND(0.411*O155+0.589*O203,0)</f>
        <v>180</v>
      </c>
      <c r="P167" s="20">
        <f t="shared" si="255"/>
        <v>60</v>
      </c>
      <c r="Q167" s="104">
        <f t="shared" ref="Q167:Q177" si="256">ROUND(0.411*Q155+0.589*Q203,3)</f>
        <v>1E-3</v>
      </c>
      <c r="R167" s="20">
        <f t="shared" ref="R167:S167" si="257">ROUND(0.411*R155+0.589*R203,0)</f>
        <v>3</v>
      </c>
      <c r="S167" s="20">
        <f t="shared" si="257"/>
        <v>1500</v>
      </c>
      <c r="T167" s="104">
        <f t="shared" ref="T167:T177" si="258">ROUND(0.411*T155+0.589*T203,3)</f>
        <v>0.1</v>
      </c>
      <c r="U167" s="54" t="s">
        <v>282</v>
      </c>
      <c r="V167" s="21"/>
      <c r="W167" s="58">
        <f t="shared" si="245"/>
        <v>35166</v>
      </c>
      <c r="X167" s="102">
        <f t="shared" si="246"/>
        <v>61.211199999999998</v>
      </c>
      <c r="Y167" s="102">
        <f t="shared" si="247"/>
        <v>17.164100000000001</v>
      </c>
      <c r="Z167" s="21">
        <f t="shared" si="248"/>
        <v>8195</v>
      </c>
      <c r="AA167" s="44">
        <f t="shared" si="249"/>
        <v>0</v>
      </c>
      <c r="AB167" s="21">
        <f t="shared" si="250"/>
        <v>2</v>
      </c>
      <c r="AC167" s="121">
        <f>ROUND(I167+mwreg!$G$22/100,3)</f>
        <v>-0.68200000000000005</v>
      </c>
      <c r="AD167" s="101">
        <f>ROUND(J167+mwreg!$G$22/100,3)</f>
        <v>1.258</v>
      </c>
      <c r="AE167" s="101">
        <f>ROUND(K167+mwreg!$G$22/100,3)</f>
        <v>0.11600000000000001</v>
      </c>
      <c r="AF167" s="102">
        <f t="shared" si="203"/>
        <v>0.2989</v>
      </c>
      <c r="AG167" s="102">
        <f t="shared" si="204"/>
        <v>3.4799999999999998E-2</v>
      </c>
      <c r="AH167" s="102">
        <f t="shared" si="238"/>
        <v>3.6999999999999998E-2</v>
      </c>
      <c r="AI167" s="21">
        <f t="shared" si="239"/>
        <v>180</v>
      </c>
      <c r="AJ167" s="21">
        <f t="shared" si="240"/>
        <v>60</v>
      </c>
      <c r="AK167" s="101">
        <f t="shared" si="241"/>
        <v>1E-3</v>
      </c>
      <c r="AL167" s="21">
        <f t="shared" si="242"/>
        <v>3</v>
      </c>
      <c r="AM167" s="21">
        <f t="shared" si="243"/>
        <v>1500</v>
      </c>
      <c r="AN167" s="101">
        <f t="shared" si="244"/>
        <v>0.1</v>
      </c>
      <c r="AO167" s="185" t="str">
        <f t="shared" si="251"/>
        <v>NaN</v>
      </c>
    </row>
    <row r="168" spans="1:41" x14ac:dyDescent="0.2">
      <c r="A168" s="3" t="s">
        <v>296</v>
      </c>
      <c r="B168" s="3" t="s">
        <v>296</v>
      </c>
      <c r="C168" s="52">
        <v>35166</v>
      </c>
      <c r="D168" s="105">
        <v>61.211199999999998</v>
      </c>
      <c r="E168" s="105">
        <v>17.164100000000001</v>
      </c>
      <c r="F168" s="20">
        <v>8195</v>
      </c>
      <c r="G168" s="18">
        <v>0</v>
      </c>
      <c r="H168" s="53">
        <v>3</v>
      </c>
      <c r="I168" s="167">
        <f t="shared" si="252"/>
        <v>-0.71299999999999997</v>
      </c>
      <c r="J168" s="104">
        <f t="shared" si="252"/>
        <v>1.0469999999999999</v>
      </c>
      <c r="K168" s="104">
        <f t="shared" si="252"/>
        <v>-8.0000000000000002E-3</v>
      </c>
      <c r="L168" s="105">
        <f t="shared" si="254"/>
        <v>0.255</v>
      </c>
      <c r="M168" s="105">
        <f t="shared" si="254"/>
        <v>8.3099999999999993E-2</v>
      </c>
      <c r="N168" s="105">
        <f t="shared" si="254"/>
        <v>8.5300000000000001E-2</v>
      </c>
      <c r="O168" s="20">
        <f t="shared" ref="O168:P168" si="259">ROUND(0.411*O156+0.589*O204,0)</f>
        <v>180</v>
      </c>
      <c r="P168" s="20">
        <f t="shared" si="259"/>
        <v>60</v>
      </c>
      <c r="Q168" s="104">
        <f t="shared" si="256"/>
        <v>1E-3</v>
      </c>
      <c r="R168" s="20">
        <f t="shared" ref="R168:S168" si="260">ROUND(0.411*R156+0.589*R204,0)</f>
        <v>3</v>
      </c>
      <c r="S168" s="20">
        <f t="shared" si="260"/>
        <v>1500</v>
      </c>
      <c r="T168" s="104">
        <f t="shared" si="258"/>
        <v>0.1</v>
      </c>
      <c r="U168" s="54" t="s">
        <v>282</v>
      </c>
      <c r="V168" s="21"/>
      <c r="W168" s="58">
        <f t="shared" si="245"/>
        <v>35166</v>
      </c>
      <c r="X168" s="102">
        <f t="shared" si="246"/>
        <v>61.211199999999998</v>
      </c>
      <c r="Y168" s="102">
        <f t="shared" si="247"/>
        <v>17.164100000000001</v>
      </c>
      <c r="Z168" s="21">
        <f t="shared" si="248"/>
        <v>8195</v>
      </c>
      <c r="AA168" s="44">
        <f t="shared" si="249"/>
        <v>0</v>
      </c>
      <c r="AB168" s="21">
        <f t="shared" si="250"/>
        <v>3</v>
      </c>
      <c r="AC168" s="121">
        <f>ROUND(I168+mwreg!$G$22/100,3)</f>
        <v>-0.67800000000000005</v>
      </c>
      <c r="AD168" s="101">
        <f>ROUND(J168+mwreg!$G$22/100,3)</f>
        <v>1.0820000000000001</v>
      </c>
      <c r="AE168" s="101">
        <f>ROUND(K168+mwreg!$G$22/100,3)</f>
        <v>2.7E-2</v>
      </c>
      <c r="AF168" s="102">
        <f t="shared" si="203"/>
        <v>0.255</v>
      </c>
      <c r="AG168" s="102">
        <f t="shared" si="204"/>
        <v>8.3099999999999993E-2</v>
      </c>
      <c r="AH168" s="102">
        <f t="shared" si="238"/>
        <v>8.5300000000000001E-2</v>
      </c>
      <c r="AI168" s="21">
        <f t="shared" si="239"/>
        <v>180</v>
      </c>
      <c r="AJ168" s="21">
        <f t="shared" si="240"/>
        <v>60</v>
      </c>
      <c r="AK168" s="101">
        <f t="shared" si="241"/>
        <v>1E-3</v>
      </c>
      <c r="AL168" s="21">
        <f t="shared" si="242"/>
        <v>3</v>
      </c>
      <c r="AM168" s="21">
        <f t="shared" si="243"/>
        <v>1500</v>
      </c>
      <c r="AN168" s="101">
        <f t="shared" si="244"/>
        <v>0.1</v>
      </c>
      <c r="AO168" s="185" t="str">
        <f t="shared" si="251"/>
        <v>NaN</v>
      </c>
    </row>
    <row r="169" spans="1:41" x14ac:dyDescent="0.2">
      <c r="A169" s="3" t="s">
        <v>296</v>
      </c>
      <c r="B169" s="3" t="s">
        <v>296</v>
      </c>
      <c r="C169" s="52">
        <v>35166</v>
      </c>
      <c r="D169" s="105">
        <v>61.211199999999998</v>
      </c>
      <c r="E169" s="105">
        <v>17.164100000000001</v>
      </c>
      <c r="F169" s="20">
        <v>8195</v>
      </c>
      <c r="G169" s="18">
        <v>0</v>
      </c>
      <c r="H169" s="53">
        <v>4</v>
      </c>
      <c r="I169" s="167">
        <f t="shared" si="252"/>
        <v>-0.79900000000000004</v>
      </c>
      <c r="J169" s="104">
        <f t="shared" si="252"/>
        <v>0.89</v>
      </c>
      <c r="K169" s="104">
        <f t="shared" si="252"/>
        <v>-0.115</v>
      </c>
      <c r="L169" s="105">
        <f t="shared" si="254"/>
        <v>0.1719</v>
      </c>
      <c r="M169" s="105">
        <f t="shared" si="254"/>
        <v>4.6100000000000002E-2</v>
      </c>
      <c r="N169" s="105">
        <f t="shared" si="254"/>
        <v>4.7899999999999998E-2</v>
      </c>
      <c r="O169" s="20">
        <f t="shared" ref="O169:P169" si="261">ROUND(0.411*O157+0.589*O205,0)</f>
        <v>180</v>
      </c>
      <c r="P169" s="20">
        <f t="shared" si="261"/>
        <v>60</v>
      </c>
      <c r="Q169" s="104">
        <f t="shared" si="256"/>
        <v>1E-3</v>
      </c>
      <c r="R169" s="20">
        <f t="shared" ref="R169:S169" si="262">ROUND(0.411*R157+0.589*R205,0)</f>
        <v>3</v>
      </c>
      <c r="S169" s="20">
        <f t="shared" si="262"/>
        <v>1500</v>
      </c>
      <c r="T169" s="104">
        <f t="shared" si="258"/>
        <v>0.1</v>
      </c>
      <c r="U169" s="54" t="s">
        <v>282</v>
      </c>
      <c r="V169" s="21"/>
      <c r="W169" s="58">
        <f t="shared" si="245"/>
        <v>35166</v>
      </c>
      <c r="X169" s="102">
        <f t="shared" si="246"/>
        <v>61.211199999999998</v>
      </c>
      <c r="Y169" s="102">
        <f t="shared" si="247"/>
        <v>17.164100000000001</v>
      </c>
      <c r="Z169" s="21">
        <f t="shared" si="248"/>
        <v>8195</v>
      </c>
      <c r="AA169" s="44">
        <f t="shared" si="249"/>
        <v>0</v>
      </c>
      <c r="AB169" s="21">
        <f t="shared" si="250"/>
        <v>4</v>
      </c>
      <c r="AC169" s="121">
        <f>ROUND(I169+mwreg!$G$22/100,3)</f>
        <v>-0.76400000000000001</v>
      </c>
      <c r="AD169" s="101">
        <f>ROUND(J169+mwreg!$G$22/100,3)</f>
        <v>0.92500000000000004</v>
      </c>
      <c r="AE169" s="101">
        <f>ROUND(K169+mwreg!$G$22/100,3)</f>
        <v>-0.08</v>
      </c>
      <c r="AF169" s="102">
        <f t="shared" si="203"/>
        <v>0.1719</v>
      </c>
      <c r="AG169" s="102">
        <f t="shared" si="204"/>
        <v>4.6100000000000002E-2</v>
      </c>
      <c r="AH169" s="102">
        <f t="shared" si="238"/>
        <v>4.7899999999999998E-2</v>
      </c>
      <c r="AI169" s="21">
        <f t="shared" si="239"/>
        <v>180</v>
      </c>
      <c r="AJ169" s="21">
        <f t="shared" si="240"/>
        <v>60</v>
      </c>
      <c r="AK169" s="101">
        <f t="shared" si="241"/>
        <v>1E-3</v>
      </c>
      <c r="AL169" s="21">
        <f t="shared" si="242"/>
        <v>3</v>
      </c>
      <c r="AM169" s="21">
        <f t="shared" si="243"/>
        <v>1500</v>
      </c>
      <c r="AN169" s="101">
        <f t="shared" si="244"/>
        <v>0.1</v>
      </c>
      <c r="AO169" s="185" t="str">
        <f t="shared" si="251"/>
        <v>NaN</v>
      </c>
    </row>
    <row r="170" spans="1:41" x14ac:dyDescent="0.2">
      <c r="A170" s="3" t="s">
        <v>296</v>
      </c>
      <c r="B170" s="3" t="s">
        <v>296</v>
      </c>
      <c r="C170" s="52">
        <v>35166</v>
      </c>
      <c r="D170" s="105">
        <v>61.211199999999998</v>
      </c>
      <c r="E170" s="105">
        <v>17.164100000000001</v>
      </c>
      <c r="F170" s="20">
        <v>8195</v>
      </c>
      <c r="G170" s="18">
        <v>0</v>
      </c>
      <c r="H170" s="53">
        <v>5</v>
      </c>
      <c r="I170" s="167">
        <f t="shared" si="252"/>
        <v>-0.72799999999999998</v>
      </c>
      <c r="J170" s="104">
        <f t="shared" si="252"/>
        <v>0.44400000000000001</v>
      </c>
      <c r="K170" s="104">
        <f t="shared" si="252"/>
        <v>-9.9000000000000005E-2</v>
      </c>
      <c r="L170" s="105">
        <f t="shared" si="254"/>
        <v>0.14169999999999999</v>
      </c>
      <c r="M170" s="105">
        <f t="shared" si="254"/>
        <v>3.7900000000000003E-2</v>
      </c>
      <c r="N170" s="105">
        <f t="shared" si="254"/>
        <v>3.9699999999999999E-2</v>
      </c>
      <c r="O170" s="20">
        <f t="shared" ref="O170:P170" si="263">ROUND(0.411*O158+0.589*O206,0)</f>
        <v>180</v>
      </c>
      <c r="P170" s="20">
        <f t="shared" si="263"/>
        <v>60</v>
      </c>
      <c r="Q170" s="104">
        <f t="shared" si="256"/>
        <v>1E-3</v>
      </c>
      <c r="R170" s="20">
        <f t="shared" ref="R170:S170" si="264">ROUND(0.411*R158+0.589*R206,0)</f>
        <v>3</v>
      </c>
      <c r="S170" s="20">
        <f t="shared" si="264"/>
        <v>1500</v>
      </c>
      <c r="T170" s="104">
        <f t="shared" si="258"/>
        <v>0.1</v>
      </c>
      <c r="U170" s="54" t="s">
        <v>282</v>
      </c>
      <c r="V170" s="21"/>
      <c r="W170" s="58">
        <f t="shared" si="245"/>
        <v>35166</v>
      </c>
      <c r="X170" s="102">
        <f t="shared" si="246"/>
        <v>61.211199999999998</v>
      </c>
      <c r="Y170" s="102">
        <f t="shared" si="247"/>
        <v>17.164100000000001</v>
      </c>
      <c r="Z170" s="21">
        <f t="shared" si="248"/>
        <v>8195</v>
      </c>
      <c r="AA170" s="44">
        <f t="shared" si="249"/>
        <v>0</v>
      </c>
      <c r="AB170" s="21">
        <f t="shared" si="250"/>
        <v>5</v>
      </c>
      <c r="AC170" s="121">
        <f>ROUND(I170+mwreg!$G$22/100,3)</f>
        <v>-0.69299999999999995</v>
      </c>
      <c r="AD170" s="101">
        <f>ROUND(J170+mwreg!$G$22/100,3)</f>
        <v>0.47899999999999998</v>
      </c>
      <c r="AE170" s="101">
        <f>ROUND(K170+mwreg!$G$22/100,3)</f>
        <v>-6.4000000000000001E-2</v>
      </c>
      <c r="AF170" s="102">
        <f t="shared" si="203"/>
        <v>0.14169999999999999</v>
      </c>
      <c r="AG170" s="102">
        <f t="shared" si="204"/>
        <v>3.7900000000000003E-2</v>
      </c>
      <c r="AH170" s="102">
        <f t="shared" si="238"/>
        <v>3.9699999999999999E-2</v>
      </c>
      <c r="AI170" s="21">
        <f t="shared" si="239"/>
        <v>180</v>
      </c>
      <c r="AJ170" s="21">
        <f t="shared" si="240"/>
        <v>60</v>
      </c>
      <c r="AK170" s="101">
        <f t="shared" si="241"/>
        <v>1E-3</v>
      </c>
      <c r="AL170" s="21">
        <f t="shared" si="242"/>
        <v>3</v>
      </c>
      <c r="AM170" s="21">
        <f t="shared" si="243"/>
        <v>1500</v>
      </c>
      <c r="AN170" s="101">
        <f t="shared" si="244"/>
        <v>0.1</v>
      </c>
      <c r="AO170" s="185" t="str">
        <f t="shared" si="251"/>
        <v>NaN</v>
      </c>
    </row>
    <row r="171" spans="1:41" x14ac:dyDescent="0.2">
      <c r="A171" s="3" t="s">
        <v>296</v>
      </c>
      <c r="B171" s="3" t="s">
        <v>296</v>
      </c>
      <c r="C171" s="52">
        <v>35166</v>
      </c>
      <c r="D171" s="105">
        <v>61.211199999999998</v>
      </c>
      <c r="E171" s="105">
        <v>17.164100000000001</v>
      </c>
      <c r="F171" s="20">
        <v>8195</v>
      </c>
      <c r="G171" s="18">
        <v>0</v>
      </c>
      <c r="H171" s="53">
        <v>6</v>
      </c>
      <c r="I171" s="167">
        <f t="shared" si="252"/>
        <v>-0.51600000000000001</v>
      </c>
      <c r="J171" s="104">
        <f t="shared" si="252"/>
        <v>0.48</v>
      </c>
      <c r="K171" s="104">
        <f t="shared" si="252"/>
        <v>-7.0999999999999994E-2</v>
      </c>
      <c r="L171" s="105">
        <f t="shared" si="254"/>
        <v>0.12230000000000001</v>
      </c>
      <c r="M171" s="105">
        <f t="shared" si="254"/>
        <v>8.9700000000000002E-2</v>
      </c>
      <c r="N171" s="105">
        <f t="shared" si="254"/>
        <v>9.1499999999999998E-2</v>
      </c>
      <c r="O171" s="20">
        <f t="shared" ref="O171:P171" si="265">ROUND(0.411*O159+0.589*O207,0)</f>
        <v>180</v>
      </c>
      <c r="P171" s="20">
        <f t="shared" si="265"/>
        <v>60</v>
      </c>
      <c r="Q171" s="104">
        <f t="shared" si="256"/>
        <v>1E-3</v>
      </c>
      <c r="R171" s="20">
        <f t="shared" ref="R171:S171" si="266">ROUND(0.411*R159+0.589*R207,0)</f>
        <v>3</v>
      </c>
      <c r="S171" s="20">
        <f t="shared" si="266"/>
        <v>1500</v>
      </c>
      <c r="T171" s="104">
        <f t="shared" si="258"/>
        <v>0.1</v>
      </c>
      <c r="U171" s="54" t="s">
        <v>282</v>
      </c>
      <c r="V171" s="21"/>
      <c r="W171" s="58">
        <f t="shared" si="245"/>
        <v>35166</v>
      </c>
      <c r="X171" s="102">
        <f t="shared" si="246"/>
        <v>61.211199999999998</v>
      </c>
      <c r="Y171" s="102">
        <f t="shared" si="247"/>
        <v>17.164100000000001</v>
      </c>
      <c r="Z171" s="21">
        <f t="shared" si="248"/>
        <v>8195</v>
      </c>
      <c r="AA171" s="44">
        <f t="shared" si="249"/>
        <v>0</v>
      </c>
      <c r="AB171" s="21">
        <f t="shared" si="250"/>
        <v>6</v>
      </c>
      <c r="AC171" s="121">
        <f>ROUND(I171+mwreg!$G$22/100,3)</f>
        <v>-0.48099999999999998</v>
      </c>
      <c r="AD171" s="101">
        <f>ROUND(J171+mwreg!$G$22/100,3)</f>
        <v>0.51500000000000001</v>
      </c>
      <c r="AE171" s="101">
        <f>ROUND(K171+mwreg!$G$22/100,3)</f>
        <v>-3.5999999999999997E-2</v>
      </c>
      <c r="AF171" s="102">
        <f t="shared" si="203"/>
        <v>0.12230000000000001</v>
      </c>
      <c r="AG171" s="102">
        <f t="shared" si="204"/>
        <v>8.9700000000000002E-2</v>
      </c>
      <c r="AH171" s="102">
        <f t="shared" si="238"/>
        <v>9.1499999999999998E-2</v>
      </c>
      <c r="AI171" s="21">
        <f t="shared" si="239"/>
        <v>180</v>
      </c>
      <c r="AJ171" s="21">
        <f t="shared" si="240"/>
        <v>60</v>
      </c>
      <c r="AK171" s="101">
        <f t="shared" si="241"/>
        <v>1E-3</v>
      </c>
      <c r="AL171" s="21">
        <f t="shared" si="242"/>
        <v>3</v>
      </c>
      <c r="AM171" s="21">
        <f t="shared" si="243"/>
        <v>1500</v>
      </c>
      <c r="AN171" s="101">
        <f t="shared" si="244"/>
        <v>0.1</v>
      </c>
      <c r="AO171" s="185" t="str">
        <f t="shared" si="251"/>
        <v>NaN</v>
      </c>
    </row>
    <row r="172" spans="1:41" x14ac:dyDescent="0.2">
      <c r="A172" s="3" t="s">
        <v>296</v>
      </c>
      <c r="B172" s="3" t="s">
        <v>296</v>
      </c>
      <c r="C172" s="52">
        <v>35166</v>
      </c>
      <c r="D172" s="105">
        <v>61.211199999999998</v>
      </c>
      <c r="E172" s="105">
        <v>17.164100000000001</v>
      </c>
      <c r="F172" s="20">
        <v>8195</v>
      </c>
      <c r="G172" s="18">
        <v>0</v>
      </c>
      <c r="H172" s="53">
        <v>7</v>
      </c>
      <c r="I172" s="167">
        <f t="shared" si="252"/>
        <v>-0.39600000000000002</v>
      </c>
      <c r="J172" s="104">
        <f t="shared" si="252"/>
        <v>0.48799999999999999</v>
      </c>
      <c r="K172" s="104">
        <f t="shared" si="252"/>
        <v>4.1000000000000002E-2</v>
      </c>
      <c r="L172" s="105">
        <f t="shared" si="254"/>
        <v>0.1236</v>
      </c>
      <c r="M172" s="105">
        <f t="shared" si="254"/>
        <v>3.56E-2</v>
      </c>
      <c r="N172" s="105">
        <f t="shared" si="254"/>
        <v>3.73E-2</v>
      </c>
      <c r="O172" s="20">
        <f t="shared" ref="O172:P172" si="267">ROUND(0.411*O160+0.589*O208,0)</f>
        <v>180</v>
      </c>
      <c r="P172" s="20">
        <f t="shared" si="267"/>
        <v>60</v>
      </c>
      <c r="Q172" s="104">
        <f t="shared" si="256"/>
        <v>1E-3</v>
      </c>
      <c r="R172" s="20">
        <f t="shared" ref="R172:S172" si="268">ROUND(0.411*R160+0.589*R208,0)</f>
        <v>3</v>
      </c>
      <c r="S172" s="20">
        <f t="shared" si="268"/>
        <v>1500</v>
      </c>
      <c r="T172" s="104">
        <f t="shared" si="258"/>
        <v>0.1</v>
      </c>
      <c r="U172" s="54" t="s">
        <v>282</v>
      </c>
      <c r="V172" s="21"/>
      <c r="W172" s="58">
        <f t="shared" si="245"/>
        <v>35166</v>
      </c>
      <c r="X172" s="102">
        <f t="shared" si="246"/>
        <v>61.211199999999998</v>
      </c>
      <c r="Y172" s="102">
        <f t="shared" si="247"/>
        <v>17.164100000000001</v>
      </c>
      <c r="Z172" s="21">
        <f t="shared" si="248"/>
        <v>8195</v>
      </c>
      <c r="AA172" s="44">
        <f t="shared" si="249"/>
        <v>0</v>
      </c>
      <c r="AB172" s="21">
        <f t="shared" si="250"/>
        <v>7</v>
      </c>
      <c r="AC172" s="121">
        <f>ROUND(I172+mwreg!$G$22/100,3)</f>
        <v>-0.36099999999999999</v>
      </c>
      <c r="AD172" s="101">
        <f>ROUND(J172+mwreg!$G$22/100,3)</f>
        <v>0.52300000000000002</v>
      </c>
      <c r="AE172" s="101">
        <f>ROUND(K172+mwreg!$G$22/100,3)</f>
        <v>7.5999999999999998E-2</v>
      </c>
      <c r="AF172" s="102">
        <f t="shared" si="203"/>
        <v>0.1236</v>
      </c>
      <c r="AG172" s="102">
        <f t="shared" si="204"/>
        <v>3.56E-2</v>
      </c>
      <c r="AH172" s="102">
        <f t="shared" si="238"/>
        <v>3.73E-2</v>
      </c>
      <c r="AI172" s="21">
        <f t="shared" si="239"/>
        <v>180</v>
      </c>
      <c r="AJ172" s="21">
        <f t="shared" si="240"/>
        <v>60</v>
      </c>
      <c r="AK172" s="101">
        <f t="shared" si="241"/>
        <v>1E-3</v>
      </c>
      <c r="AL172" s="21">
        <f t="shared" si="242"/>
        <v>3</v>
      </c>
      <c r="AM172" s="21">
        <f t="shared" si="243"/>
        <v>1500</v>
      </c>
      <c r="AN172" s="101">
        <f t="shared" si="244"/>
        <v>0.1</v>
      </c>
      <c r="AO172" s="185" t="str">
        <f t="shared" si="251"/>
        <v>NaN</v>
      </c>
    </row>
    <row r="173" spans="1:41" x14ac:dyDescent="0.2">
      <c r="A173" s="3" t="s">
        <v>296</v>
      </c>
      <c r="B173" s="3" t="s">
        <v>296</v>
      </c>
      <c r="C173" s="52">
        <v>35166</v>
      </c>
      <c r="D173" s="105">
        <v>61.211199999999998</v>
      </c>
      <c r="E173" s="105">
        <v>17.164100000000001</v>
      </c>
      <c r="F173" s="20">
        <v>8195</v>
      </c>
      <c r="G173" s="18">
        <v>0</v>
      </c>
      <c r="H173" s="53">
        <v>8</v>
      </c>
      <c r="I173" s="167">
        <f t="shared" si="252"/>
        <v>-0.503</v>
      </c>
      <c r="J173" s="104">
        <f t="shared" si="252"/>
        <v>0.65900000000000003</v>
      </c>
      <c r="K173" s="104">
        <f t="shared" si="252"/>
        <v>1.7999999999999999E-2</v>
      </c>
      <c r="L173" s="105">
        <f t="shared" si="254"/>
        <v>0.1203</v>
      </c>
      <c r="M173" s="105">
        <f t="shared" si="254"/>
        <v>3.2800000000000003E-2</v>
      </c>
      <c r="N173" s="105">
        <f t="shared" si="254"/>
        <v>3.4500000000000003E-2</v>
      </c>
      <c r="O173" s="20">
        <f t="shared" ref="O173:P173" si="269">ROUND(0.411*O161+0.589*O209,0)</f>
        <v>180</v>
      </c>
      <c r="P173" s="20">
        <f t="shared" si="269"/>
        <v>60</v>
      </c>
      <c r="Q173" s="104">
        <f t="shared" si="256"/>
        <v>1E-3</v>
      </c>
      <c r="R173" s="20">
        <f t="shared" ref="R173:S173" si="270">ROUND(0.411*R161+0.589*R209,0)</f>
        <v>3</v>
      </c>
      <c r="S173" s="20">
        <f t="shared" si="270"/>
        <v>1500</v>
      </c>
      <c r="T173" s="104">
        <f t="shared" si="258"/>
        <v>0.1</v>
      </c>
      <c r="U173" s="54" t="s">
        <v>282</v>
      </c>
      <c r="V173" s="21"/>
      <c r="W173" s="58">
        <f t="shared" si="245"/>
        <v>35166</v>
      </c>
      <c r="X173" s="102">
        <f t="shared" si="246"/>
        <v>61.211199999999998</v>
      </c>
      <c r="Y173" s="102">
        <f t="shared" si="247"/>
        <v>17.164100000000001</v>
      </c>
      <c r="Z173" s="21">
        <f t="shared" si="248"/>
        <v>8195</v>
      </c>
      <c r="AA173" s="44">
        <f t="shared" si="249"/>
        <v>0</v>
      </c>
      <c r="AB173" s="21">
        <f t="shared" si="250"/>
        <v>8</v>
      </c>
      <c r="AC173" s="121">
        <f>ROUND(I173+mwreg!$G$22/100,3)</f>
        <v>-0.46800000000000003</v>
      </c>
      <c r="AD173" s="101">
        <f>ROUND(J173+mwreg!$G$22/100,3)</f>
        <v>0.69399999999999995</v>
      </c>
      <c r="AE173" s="101">
        <f>ROUND(K173+mwreg!$G$22/100,3)</f>
        <v>5.2999999999999999E-2</v>
      </c>
      <c r="AF173" s="102">
        <f t="shared" si="203"/>
        <v>0.1203</v>
      </c>
      <c r="AG173" s="102">
        <f t="shared" si="204"/>
        <v>3.2800000000000003E-2</v>
      </c>
      <c r="AH173" s="102">
        <f t="shared" si="238"/>
        <v>3.4500000000000003E-2</v>
      </c>
      <c r="AI173" s="21">
        <f t="shared" si="239"/>
        <v>180</v>
      </c>
      <c r="AJ173" s="21">
        <f t="shared" si="240"/>
        <v>60</v>
      </c>
      <c r="AK173" s="101">
        <f t="shared" si="241"/>
        <v>1E-3</v>
      </c>
      <c r="AL173" s="21">
        <f t="shared" si="242"/>
        <v>3</v>
      </c>
      <c r="AM173" s="21">
        <f t="shared" si="243"/>
        <v>1500</v>
      </c>
      <c r="AN173" s="101">
        <f t="shared" si="244"/>
        <v>0.1</v>
      </c>
      <c r="AO173" s="185" t="str">
        <f t="shared" si="251"/>
        <v>NaN</v>
      </c>
    </row>
    <row r="174" spans="1:41" x14ac:dyDescent="0.2">
      <c r="A174" s="3" t="s">
        <v>296</v>
      </c>
      <c r="B174" s="3" t="s">
        <v>296</v>
      </c>
      <c r="C174" s="52">
        <v>35166</v>
      </c>
      <c r="D174" s="105">
        <v>61.211199999999998</v>
      </c>
      <c r="E174" s="105">
        <v>17.164100000000001</v>
      </c>
      <c r="F174" s="20">
        <v>8195</v>
      </c>
      <c r="G174" s="18">
        <v>0</v>
      </c>
      <c r="H174" s="53">
        <v>9</v>
      </c>
      <c r="I174" s="167">
        <f t="shared" si="252"/>
        <v>-0.58499999999999996</v>
      </c>
      <c r="J174" s="104">
        <f t="shared" si="252"/>
        <v>0.72299999999999998</v>
      </c>
      <c r="K174" s="104">
        <f t="shared" si="252"/>
        <v>6.0999999999999999E-2</v>
      </c>
      <c r="L174" s="105">
        <f t="shared" si="254"/>
        <v>0.14899999999999999</v>
      </c>
      <c r="M174" s="105">
        <f t="shared" si="254"/>
        <v>3.8399999999999997E-2</v>
      </c>
      <c r="N174" s="105">
        <f t="shared" si="254"/>
        <v>4.0500000000000001E-2</v>
      </c>
      <c r="O174" s="20">
        <f t="shared" ref="O174:P174" si="271">ROUND(0.411*O162+0.589*O210,0)</f>
        <v>180</v>
      </c>
      <c r="P174" s="20">
        <f t="shared" si="271"/>
        <v>60</v>
      </c>
      <c r="Q174" s="104">
        <f t="shared" si="256"/>
        <v>1E-3</v>
      </c>
      <c r="R174" s="20">
        <f t="shared" ref="R174:S174" si="272">ROUND(0.411*R162+0.589*R210,0)</f>
        <v>3</v>
      </c>
      <c r="S174" s="20">
        <f t="shared" si="272"/>
        <v>1500</v>
      </c>
      <c r="T174" s="104">
        <f t="shared" si="258"/>
        <v>0.1</v>
      </c>
      <c r="U174" s="54" t="s">
        <v>282</v>
      </c>
      <c r="V174" s="21"/>
      <c r="W174" s="58">
        <f t="shared" si="245"/>
        <v>35166</v>
      </c>
      <c r="X174" s="102">
        <f t="shared" si="246"/>
        <v>61.211199999999998</v>
      </c>
      <c r="Y174" s="102">
        <f t="shared" si="247"/>
        <v>17.164100000000001</v>
      </c>
      <c r="Z174" s="21">
        <f t="shared" si="248"/>
        <v>8195</v>
      </c>
      <c r="AA174" s="44">
        <f t="shared" si="249"/>
        <v>0</v>
      </c>
      <c r="AB174" s="21">
        <f t="shared" si="250"/>
        <v>9</v>
      </c>
      <c r="AC174" s="121">
        <f>ROUND(I174+mwreg!$G$22/100,3)</f>
        <v>-0.55000000000000004</v>
      </c>
      <c r="AD174" s="101">
        <f>ROUND(J174+mwreg!$G$22/100,3)</f>
        <v>0.75800000000000001</v>
      </c>
      <c r="AE174" s="101">
        <f>ROUND(K174+mwreg!$G$22/100,3)</f>
        <v>9.6000000000000002E-2</v>
      </c>
      <c r="AF174" s="102">
        <f t="shared" si="203"/>
        <v>0.14899999999999999</v>
      </c>
      <c r="AG174" s="102">
        <f t="shared" si="204"/>
        <v>3.8399999999999997E-2</v>
      </c>
      <c r="AH174" s="102">
        <f t="shared" si="238"/>
        <v>4.0500000000000001E-2</v>
      </c>
      <c r="AI174" s="21">
        <f t="shared" si="239"/>
        <v>180</v>
      </c>
      <c r="AJ174" s="21">
        <f t="shared" si="240"/>
        <v>60</v>
      </c>
      <c r="AK174" s="101">
        <f t="shared" si="241"/>
        <v>1E-3</v>
      </c>
      <c r="AL174" s="21">
        <f t="shared" si="242"/>
        <v>3</v>
      </c>
      <c r="AM174" s="21">
        <f t="shared" si="243"/>
        <v>1500</v>
      </c>
      <c r="AN174" s="101">
        <f t="shared" si="244"/>
        <v>0.1</v>
      </c>
      <c r="AO174" s="185" t="str">
        <f t="shared" si="251"/>
        <v>NaN</v>
      </c>
    </row>
    <row r="175" spans="1:41" x14ac:dyDescent="0.2">
      <c r="A175" s="3" t="s">
        <v>296</v>
      </c>
      <c r="B175" s="3" t="s">
        <v>296</v>
      </c>
      <c r="C175" s="52">
        <v>35166</v>
      </c>
      <c r="D175" s="105">
        <v>61.211199999999998</v>
      </c>
      <c r="E175" s="105">
        <v>17.164100000000001</v>
      </c>
      <c r="F175" s="20">
        <v>8195</v>
      </c>
      <c r="G175" s="18">
        <v>0</v>
      </c>
      <c r="H175" s="53">
        <v>10</v>
      </c>
      <c r="I175" s="167">
        <f t="shared" si="252"/>
        <v>-0.66700000000000004</v>
      </c>
      <c r="J175" s="104">
        <f t="shared" si="252"/>
        <v>0.86299999999999999</v>
      </c>
      <c r="K175" s="104">
        <f t="shared" si="252"/>
        <v>4.7E-2</v>
      </c>
      <c r="L175" s="105">
        <f t="shared" si="254"/>
        <v>0.19009999999999999</v>
      </c>
      <c r="M175" s="105">
        <f t="shared" si="254"/>
        <v>3.2800000000000003E-2</v>
      </c>
      <c r="N175" s="105">
        <f t="shared" si="254"/>
        <v>3.49E-2</v>
      </c>
      <c r="O175" s="20">
        <f t="shared" ref="O175:P175" si="273">ROUND(0.411*O163+0.589*O211,0)</f>
        <v>180</v>
      </c>
      <c r="P175" s="20">
        <f t="shared" si="273"/>
        <v>60</v>
      </c>
      <c r="Q175" s="104">
        <f t="shared" si="256"/>
        <v>1E-3</v>
      </c>
      <c r="R175" s="20">
        <f t="shared" ref="R175:S175" si="274">ROUND(0.411*R163+0.589*R211,0)</f>
        <v>3</v>
      </c>
      <c r="S175" s="20">
        <f t="shared" si="274"/>
        <v>1500</v>
      </c>
      <c r="T175" s="104">
        <f t="shared" si="258"/>
        <v>0.1</v>
      </c>
      <c r="U175" s="54" t="s">
        <v>282</v>
      </c>
      <c r="V175" s="21"/>
      <c r="W175" s="58">
        <f t="shared" si="245"/>
        <v>35166</v>
      </c>
      <c r="X175" s="102">
        <f t="shared" si="246"/>
        <v>61.211199999999998</v>
      </c>
      <c r="Y175" s="102">
        <f t="shared" si="247"/>
        <v>17.164100000000001</v>
      </c>
      <c r="Z175" s="21">
        <f t="shared" si="248"/>
        <v>8195</v>
      </c>
      <c r="AA175" s="44">
        <f t="shared" si="249"/>
        <v>0</v>
      </c>
      <c r="AB175" s="21">
        <f t="shared" si="250"/>
        <v>10</v>
      </c>
      <c r="AC175" s="121">
        <f>ROUND(I175+mwreg!$G$22/100,3)</f>
        <v>-0.63200000000000001</v>
      </c>
      <c r="AD175" s="101">
        <f>ROUND(J175+mwreg!$G$22/100,3)</f>
        <v>0.89800000000000002</v>
      </c>
      <c r="AE175" s="101">
        <f>ROUND(K175+mwreg!$G$22/100,3)</f>
        <v>8.2000000000000003E-2</v>
      </c>
      <c r="AF175" s="102">
        <f t="shared" si="203"/>
        <v>0.19009999999999999</v>
      </c>
      <c r="AG175" s="102">
        <f t="shared" si="204"/>
        <v>3.2800000000000003E-2</v>
      </c>
      <c r="AH175" s="102">
        <f t="shared" si="238"/>
        <v>3.49E-2</v>
      </c>
      <c r="AI175" s="21">
        <f t="shared" si="239"/>
        <v>180</v>
      </c>
      <c r="AJ175" s="21">
        <f t="shared" si="240"/>
        <v>60</v>
      </c>
      <c r="AK175" s="101">
        <f t="shared" si="241"/>
        <v>1E-3</v>
      </c>
      <c r="AL175" s="21">
        <f t="shared" si="242"/>
        <v>3</v>
      </c>
      <c r="AM175" s="21">
        <f t="shared" si="243"/>
        <v>1500</v>
      </c>
      <c r="AN175" s="101">
        <f t="shared" si="244"/>
        <v>0.1</v>
      </c>
      <c r="AO175" s="185" t="str">
        <f t="shared" si="251"/>
        <v>NaN</v>
      </c>
    </row>
    <row r="176" spans="1:41" x14ac:dyDescent="0.2">
      <c r="A176" s="3" t="s">
        <v>296</v>
      </c>
      <c r="B176" s="3" t="s">
        <v>296</v>
      </c>
      <c r="C176" s="52">
        <v>35166</v>
      </c>
      <c r="D176" s="105">
        <v>61.211199999999998</v>
      </c>
      <c r="E176" s="105">
        <v>17.164100000000001</v>
      </c>
      <c r="F176" s="20">
        <v>8195</v>
      </c>
      <c r="G176" s="18">
        <v>0</v>
      </c>
      <c r="H176" s="53">
        <v>11</v>
      </c>
      <c r="I176" s="167">
        <f t="shared" si="252"/>
        <v>-0.85099999999999998</v>
      </c>
      <c r="J176" s="104">
        <f t="shared" si="252"/>
        <v>1.014</v>
      </c>
      <c r="K176" s="104">
        <f t="shared" si="252"/>
        <v>4.8000000000000001E-2</v>
      </c>
      <c r="L176" s="105">
        <f t="shared" si="254"/>
        <v>0.2145</v>
      </c>
      <c r="M176" s="105">
        <f t="shared" si="254"/>
        <v>3.4500000000000003E-2</v>
      </c>
      <c r="N176" s="105">
        <f t="shared" si="254"/>
        <v>3.6999999999999998E-2</v>
      </c>
      <c r="O176" s="20">
        <f t="shared" ref="O176:P176" si="275">ROUND(0.411*O164+0.589*O212,0)</f>
        <v>180</v>
      </c>
      <c r="P176" s="20">
        <f t="shared" si="275"/>
        <v>60</v>
      </c>
      <c r="Q176" s="104">
        <f t="shared" si="256"/>
        <v>1E-3</v>
      </c>
      <c r="R176" s="20">
        <f t="shared" ref="R176:S176" si="276">ROUND(0.411*R164+0.589*R212,0)</f>
        <v>3</v>
      </c>
      <c r="S176" s="20">
        <f t="shared" si="276"/>
        <v>1500</v>
      </c>
      <c r="T176" s="104">
        <f t="shared" si="258"/>
        <v>0.1</v>
      </c>
      <c r="U176" s="54" t="s">
        <v>282</v>
      </c>
      <c r="V176" s="21"/>
      <c r="W176" s="58">
        <f t="shared" si="245"/>
        <v>35166</v>
      </c>
      <c r="X176" s="102">
        <f t="shared" si="246"/>
        <v>61.211199999999998</v>
      </c>
      <c r="Y176" s="102">
        <f t="shared" si="247"/>
        <v>17.164100000000001</v>
      </c>
      <c r="Z176" s="21">
        <f t="shared" si="248"/>
        <v>8195</v>
      </c>
      <c r="AA176" s="44">
        <f t="shared" si="249"/>
        <v>0</v>
      </c>
      <c r="AB176" s="21">
        <f t="shared" si="250"/>
        <v>11</v>
      </c>
      <c r="AC176" s="121">
        <f>ROUND(I176+mwreg!$G$22/100,3)</f>
        <v>-0.81599999999999995</v>
      </c>
      <c r="AD176" s="101">
        <f>ROUND(J176+mwreg!$G$22/100,3)</f>
        <v>1.0489999999999999</v>
      </c>
      <c r="AE176" s="101">
        <f>ROUND(K176+mwreg!$G$22/100,3)</f>
        <v>8.3000000000000004E-2</v>
      </c>
      <c r="AF176" s="102">
        <f t="shared" si="203"/>
        <v>0.2145</v>
      </c>
      <c r="AG176" s="102">
        <f t="shared" si="204"/>
        <v>3.4500000000000003E-2</v>
      </c>
      <c r="AH176" s="102">
        <f t="shared" si="238"/>
        <v>3.6999999999999998E-2</v>
      </c>
      <c r="AI176" s="21">
        <f t="shared" si="239"/>
        <v>180</v>
      </c>
      <c r="AJ176" s="21">
        <f t="shared" si="240"/>
        <v>60</v>
      </c>
      <c r="AK176" s="101">
        <f t="shared" si="241"/>
        <v>1E-3</v>
      </c>
      <c r="AL176" s="21">
        <f t="shared" si="242"/>
        <v>3</v>
      </c>
      <c r="AM176" s="21">
        <f t="shared" si="243"/>
        <v>1500</v>
      </c>
      <c r="AN176" s="101">
        <f t="shared" si="244"/>
        <v>0.1</v>
      </c>
      <c r="AO176" s="185" t="str">
        <f t="shared" si="251"/>
        <v>NaN</v>
      </c>
    </row>
    <row r="177" spans="1:41" x14ac:dyDescent="0.2">
      <c r="A177" s="3" t="s">
        <v>296</v>
      </c>
      <c r="B177" s="3" t="s">
        <v>296</v>
      </c>
      <c r="C177" s="52">
        <v>35166</v>
      </c>
      <c r="D177" s="105">
        <v>61.211199999999998</v>
      </c>
      <c r="E177" s="105">
        <v>17.164100000000001</v>
      </c>
      <c r="F177" s="20">
        <v>8195</v>
      </c>
      <c r="G177" s="18">
        <v>0</v>
      </c>
      <c r="H177" s="53">
        <v>12</v>
      </c>
      <c r="I177" s="167">
        <f t="shared" si="252"/>
        <v>-0.72299999999999998</v>
      </c>
      <c r="J177" s="104">
        <f t="shared" si="252"/>
        <v>1.302</v>
      </c>
      <c r="K177" s="104">
        <f t="shared" si="252"/>
        <v>0.114</v>
      </c>
      <c r="L177" s="105">
        <f t="shared" si="254"/>
        <v>0.23100000000000001</v>
      </c>
      <c r="M177" s="105">
        <f t="shared" si="254"/>
        <v>5.4199999999999998E-2</v>
      </c>
      <c r="N177" s="105">
        <f t="shared" si="254"/>
        <v>5.67E-2</v>
      </c>
      <c r="O177" s="20">
        <f t="shared" ref="O177:P177" si="277">ROUND(0.411*O165+0.589*O213,0)</f>
        <v>180</v>
      </c>
      <c r="P177" s="20">
        <f t="shared" si="277"/>
        <v>60</v>
      </c>
      <c r="Q177" s="104">
        <f t="shared" si="256"/>
        <v>1E-3</v>
      </c>
      <c r="R177" s="20">
        <f t="shared" ref="R177:S177" si="278">ROUND(0.411*R165+0.589*R213,0)</f>
        <v>3</v>
      </c>
      <c r="S177" s="20">
        <f t="shared" si="278"/>
        <v>1500</v>
      </c>
      <c r="T177" s="104">
        <f t="shared" si="258"/>
        <v>0.1</v>
      </c>
      <c r="U177" s="54" t="s">
        <v>282</v>
      </c>
      <c r="V177" s="21"/>
      <c r="W177" s="58">
        <f t="shared" si="245"/>
        <v>35166</v>
      </c>
      <c r="X177" s="102">
        <f t="shared" si="246"/>
        <v>61.211199999999998</v>
      </c>
      <c r="Y177" s="102">
        <f t="shared" si="247"/>
        <v>17.164100000000001</v>
      </c>
      <c r="Z177" s="21">
        <f t="shared" si="248"/>
        <v>8195</v>
      </c>
      <c r="AA177" s="44">
        <f t="shared" si="249"/>
        <v>0</v>
      </c>
      <c r="AB177" s="21">
        <f t="shared" si="250"/>
        <v>12</v>
      </c>
      <c r="AC177" s="121">
        <f>ROUND(I177+mwreg!$G$22/100,3)</f>
        <v>-0.68799999999999994</v>
      </c>
      <c r="AD177" s="101">
        <f>ROUND(J177+mwreg!$G$22/100,3)</f>
        <v>1.337</v>
      </c>
      <c r="AE177" s="101">
        <f>ROUND(K177+mwreg!$G$22/100,3)</f>
        <v>0.14899999999999999</v>
      </c>
      <c r="AF177" s="102">
        <f t="shared" si="203"/>
        <v>0.23100000000000001</v>
      </c>
      <c r="AG177" s="102">
        <f t="shared" si="204"/>
        <v>5.4199999999999998E-2</v>
      </c>
      <c r="AH177" s="102">
        <f t="shared" si="238"/>
        <v>5.67E-2</v>
      </c>
      <c r="AI177" s="21">
        <f t="shared" si="239"/>
        <v>180</v>
      </c>
      <c r="AJ177" s="21">
        <f t="shared" si="240"/>
        <v>60</v>
      </c>
      <c r="AK177" s="101">
        <f t="shared" si="241"/>
        <v>1E-3</v>
      </c>
      <c r="AL177" s="21">
        <f t="shared" si="242"/>
        <v>3</v>
      </c>
      <c r="AM177" s="21">
        <f t="shared" si="243"/>
        <v>1500</v>
      </c>
      <c r="AN177" s="101">
        <f t="shared" si="244"/>
        <v>0.1</v>
      </c>
      <c r="AO177" s="185" t="str">
        <f t="shared" si="251"/>
        <v>NaN</v>
      </c>
    </row>
    <row r="178" spans="1:41" x14ac:dyDescent="0.2">
      <c r="A178" s="3" t="str">
        <f>stat_uppg!A23</f>
        <v>33/35119</v>
      </c>
      <c r="B178" s="3" t="str">
        <f>stat_uppg!B23</f>
        <v>BÖNAN (SJÖV)</v>
      </c>
      <c r="C178" s="52">
        <v>35119</v>
      </c>
      <c r="D178" s="105">
        <v>60.731499999999997</v>
      </c>
      <c r="E178" s="105">
        <v>17.325800000000001</v>
      </c>
      <c r="F178" s="20">
        <v>8195</v>
      </c>
      <c r="G178" s="18">
        <v>0</v>
      </c>
      <c r="H178" s="53">
        <v>1</v>
      </c>
      <c r="I178" s="167">
        <f t="shared" ref="I178:K189" si="279">ROUND(0.165*I154+0.835*I202,3)</f>
        <v>-0.74199999999999999</v>
      </c>
      <c r="J178" s="104">
        <f t="shared" si="279"/>
        <v>1.4039999999999999</v>
      </c>
      <c r="K178" s="104">
        <f t="shared" si="279"/>
        <v>0.14199999999999999</v>
      </c>
      <c r="L178" s="105">
        <f>ROUND(0.165*L154+0.835*L202,4)</f>
        <v>0.27360000000000001</v>
      </c>
      <c r="M178" s="105">
        <f t="shared" ref="M178:N178" si="280">ROUND(0.165*M154+0.835*M202,4)</f>
        <v>2.4899999999999999E-2</v>
      </c>
      <c r="N178" s="105">
        <f t="shared" si="280"/>
        <v>2.7E-2</v>
      </c>
      <c r="O178" s="20">
        <f>ROUND(0.165*O154+0.835*O202,0)</f>
        <v>180</v>
      </c>
      <c r="P178" s="20">
        <f>ROUND(0.165*P154+0.835*P202,0)</f>
        <v>60</v>
      </c>
      <c r="Q178" s="104">
        <f>ROUND(0.165*Q154+0.835*Q202,3)</f>
        <v>1E-3</v>
      </c>
      <c r="R178" s="20">
        <f>ROUND(0.165*R154+0.835*R202,0)</f>
        <v>3</v>
      </c>
      <c r="S178" s="20">
        <f>ROUND(0.165*S154+0.835*S202,0)</f>
        <v>1500</v>
      </c>
      <c r="T178" s="104">
        <f>ROUND(0.165*T154+0.835*T202,3)</f>
        <v>0.1</v>
      </c>
      <c r="U178" s="54" t="s">
        <v>282</v>
      </c>
      <c r="V178" s="21"/>
      <c r="W178" s="58">
        <f t="shared" ref="W178:W209" si="281">C178</f>
        <v>35119</v>
      </c>
      <c r="X178" s="102">
        <f t="shared" ref="X178:X209" si="282">ROUND(D178,4)</f>
        <v>60.731499999999997</v>
      </c>
      <c r="Y178" s="102">
        <f t="shared" ref="Y178:Y209" si="283">ROUND(E178,4)</f>
        <v>17.325800000000001</v>
      </c>
      <c r="Z178" s="21">
        <f t="shared" ref="Z178:Z209" si="284">F178</f>
        <v>8195</v>
      </c>
      <c r="AA178" s="44">
        <f t="shared" ref="AA178:AA209" si="285">G178</f>
        <v>0</v>
      </c>
      <c r="AB178" s="21">
        <f t="shared" ref="AB178:AB209" si="286">H178</f>
        <v>1</v>
      </c>
      <c r="AC178" s="121">
        <f>ROUND(I178+mwreg!$G$23/100,3)</f>
        <v>-0.69199999999999995</v>
      </c>
      <c r="AD178" s="101">
        <f>ROUND(J178+mwreg!$G$23/100,3)</f>
        <v>1.454</v>
      </c>
      <c r="AE178" s="101">
        <f>ROUND(K178+mwreg!$G$23/100,3)</f>
        <v>0.192</v>
      </c>
      <c r="AF178" s="102">
        <f t="shared" si="203"/>
        <v>0.27360000000000001</v>
      </c>
      <c r="AG178" s="102">
        <f t="shared" si="204"/>
        <v>2.4899999999999999E-2</v>
      </c>
      <c r="AH178" s="102">
        <f t="shared" si="238"/>
        <v>2.7E-2</v>
      </c>
      <c r="AI178" s="21">
        <f t="shared" si="239"/>
        <v>180</v>
      </c>
      <c r="AJ178" s="21">
        <f t="shared" si="240"/>
        <v>60</v>
      </c>
      <c r="AK178" s="101">
        <f t="shared" si="241"/>
        <v>1E-3</v>
      </c>
      <c r="AL178" s="21">
        <f t="shared" si="242"/>
        <v>3</v>
      </c>
      <c r="AM178" s="21">
        <f t="shared" si="243"/>
        <v>1500</v>
      </c>
      <c r="AN178" s="101">
        <f t="shared" si="244"/>
        <v>0.1</v>
      </c>
      <c r="AO178" s="185" t="str">
        <f t="shared" si="251"/>
        <v>NaN</v>
      </c>
    </row>
    <row r="179" spans="1:41" x14ac:dyDescent="0.2">
      <c r="A179" s="3" t="s">
        <v>296</v>
      </c>
      <c r="B179" s="3" t="s">
        <v>296</v>
      </c>
      <c r="C179" s="52">
        <v>35119</v>
      </c>
      <c r="D179" s="105">
        <v>60.731499999999997</v>
      </c>
      <c r="E179" s="105">
        <v>17.325800000000001</v>
      </c>
      <c r="F179" s="20">
        <v>8195</v>
      </c>
      <c r="G179" s="18">
        <v>0</v>
      </c>
      <c r="H179" s="53">
        <v>2</v>
      </c>
      <c r="I179" s="167">
        <f t="shared" si="279"/>
        <v>-0.71099999999999997</v>
      </c>
      <c r="J179" s="104">
        <f t="shared" si="279"/>
        <v>1.21</v>
      </c>
      <c r="K179" s="104">
        <f t="shared" si="279"/>
        <v>7.6999999999999999E-2</v>
      </c>
      <c r="L179" s="105">
        <f t="shared" ref="L179:N189" si="287">ROUND(0.165*L155+0.835*L203,4)</f>
        <v>0.29680000000000001</v>
      </c>
      <c r="M179" s="105">
        <f t="shared" si="287"/>
        <v>3.09E-2</v>
      </c>
      <c r="N179" s="105">
        <f t="shared" si="287"/>
        <v>3.2800000000000003E-2</v>
      </c>
      <c r="O179" s="20">
        <f t="shared" ref="O179:P179" si="288">ROUND(0.165*O155+0.835*O203,0)</f>
        <v>180</v>
      </c>
      <c r="P179" s="20">
        <f t="shared" si="288"/>
        <v>60</v>
      </c>
      <c r="Q179" s="104">
        <f t="shared" ref="Q179:Q189" si="289">ROUND(0.165*Q155+0.835*Q203,3)</f>
        <v>1E-3</v>
      </c>
      <c r="R179" s="20">
        <f t="shared" ref="R179:S179" si="290">ROUND(0.165*R155+0.835*R203,0)</f>
        <v>3</v>
      </c>
      <c r="S179" s="20">
        <f t="shared" si="290"/>
        <v>1500</v>
      </c>
      <c r="T179" s="104">
        <f t="shared" ref="T179:T189" si="291">ROUND(0.165*T155+0.835*T203,3)</f>
        <v>0.1</v>
      </c>
      <c r="U179" s="54" t="s">
        <v>282</v>
      </c>
      <c r="V179" s="21"/>
      <c r="W179" s="58">
        <f t="shared" si="281"/>
        <v>35119</v>
      </c>
      <c r="X179" s="102">
        <f t="shared" si="282"/>
        <v>60.731499999999997</v>
      </c>
      <c r="Y179" s="102">
        <f t="shared" si="283"/>
        <v>17.325800000000001</v>
      </c>
      <c r="Z179" s="21">
        <f t="shared" si="284"/>
        <v>8195</v>
      </c>
      <c r="AA179" s="44">
        <f t="shared" si="285"/>
        <v>0</v>
      </c>
      <c r="AB179" s="21">
        <f t="shared" si="286"/>
        <v>2</v>
      </c>
      <c r="AC179" s="121">
        <f>ROUND(I179+mwreg!$G$23/100,3)</f>
        <v>-0.66100000000000003</v>
      </c>
      <c r="AD179" s="101">
        <f>ROUND(J179+mwreg!$G$23/100,3)</f>
        <v>1.26</v>
      </c>
      <c r="AE179" s="101">
        <f>ROUND(K179+mwreg!$G$23/100,3)</f>
        <v>0.127</v>
      </c>
      <c r="AF179" s="102">
        <f t="shared" si="203"/>
        <v>0.29680000000000001</v>
      </c>
      <c r="AG179" s="102">
        <f t="shared" si="204"/>
        <v>3.09E-2</v>
      </c>
      <c r="AH179" s="102">
        <f t="shared" si="238"/>
        <v>3.2800000000000003E-2</v>
      </c>
      <c r="AI179" s="21">
        <f t="shared" si="239"/>
        <v>180</v>
      </c>
      <c r="AJ179" s="21">
        <f t="shared" si="240"/>
        <v>60</v>
      </c>
      <c r="AK179" s="101">
        <f t="shared" si="241"/>
        <v>1E-3</v>
      </c>
      <c r="AL179" s="21">
        <f t="shared" si="242"/>
        <v>3</v>
      </c>
      <c r="AM179" s="21">
        <f t="shared" si="243"/>
        <v>1500</v>
      </c>
      <c r="AN179" s="101">
        <f t="shared" si="244"/>
        <v>0.1</v>
      </c>
      <c r="AO179" s="185" t="str">
        <f t="shared" si="251"/>
        <v>NaN</v>
      </c>
    </row>
    <row r="180" spans="1:41" x14ac:dyDescent="0.2">
      <c r="A180" s="3" t="s">
        <v>296</v>
      </c>
      <c r="B180" s="3" t="s">
        <v>296</v>
      </c>
      <c r="C180" s="52">
        <v>35119</v>
      </c>
      <c r="D180" s="105">
        <v>60.731499999999997</v>
      </c>
      <c r="E180" s="105">
        <v>17.325800000000001</v>
      </c>
      <c r="F180" s="20">
        <v>8195</v>
      </c>
      <c r="G180" s="18">
        <v>0</v>
      </c>
      <c r="H180" s="53">
        <v>3</v>
      </c>
      <c r="I180" s="167">
        <f t="shared" si="279"/>
        <v>-0.69499999999999995</v>
      </c>
      <c r="J180" s="104">
        <f t="shared" si="279"/>
        <v>1.091</v>
      </c>
      <c r="K180" s="104">
        <f t="shared" si="279"/>
        <v>-8.9999999999999993E-3</v>
      </c>
      <c r="L180" s="105">
        <f t="shared" si="287"/>
        <v>0.25130000000000002</v>
      </c>
      <c r="M180" s="105">
        <f t="shared" si="287"/>
        <v>7.7200000000000005E-2</v>
      </c>
      <c r="N180" s="105">
        <f t="shared" si="287"/>
        <v>7.9100000000000004E-2</v>
      </c>
      <c r="O180" s="20">
        <f t="shared" ref="O180:P180" si="292">ROUND(0.165*O156+0.835*O204,0)</f>
        <v>180</v>
      </c>
      <c r="P180" s="20">
        <f t="shared" si="292"/>
        <v>60</v>
      </c>
      <c r="Q180" s="104">
        <f t="shared" si="289"/>
        <v>1E-3</v>
      </c>
      <c r="R180" s="20">
        <f t="shared" ref="R180:S180" si="293">ROUND(0.165*R156+0.835*R204,0)</f>
        <v>3</v>
      </c>
      <c r="S180" s="20">
        <f t="shared" si="293"/>
        <v>1500</v>
      </c>
      <c r="T180" s="104">
        <f t="shared" si="291"/>
        <v>0.1</v>
      </c>
      <c r="U180" s="54" t="s">
        <v>282</v>
      </c>
      <c r="V180" s="21"/>
      <c r="W180" s="58">
        <f t="shared" si="281"/>
        <v>35119</v>
      </c>
      <c r="X180" s="102">
        <f t="shared" si="282"/>
        <v>60.731499999999997</v>
      </c>
      <c r="Y180" s="102">
        <f t="shared" si="283"/>
        <v>17.325800000000001</v>
      </c>
      <c r="Z180" s="21">
        <f t="shared" si="284"/>
        <v>8195</v>
      </c>
      <c r="AA180" s="44">
        <f t="shared" si="285"/>
        <v>0</v>
      </c>
      <c r="AB180" s="21">
        <f t="shared" si="286"/>
        <v>3</v>
      </c>
      <c r="AC180" s="121">
        <f>ROUND(I180+mwreg!$G$23/100,3)</f>
        <v>-0.64500000000000002</v>
      </c>
      <c r="AD180" s="101">
        <f>ROUND(J180+mwreg!$G$23/100,3)</f>
        <v>1.141</v>
      </c>
      <c r="AE180" s="101">
        <f>ROUND(K180+mwreg!$G$23/100,3)</f>
        <v>4.1000000000000002E-2</v>
      </c>
      <c r="AF180" s="102">
        <f t="shared" si="203"/>
        <v>0.25130000000000002</v>
      </c>
      <c r="AG180" s="102">
        <f t="shared" si="204"/>
        <v>7.7200000000000005E-2</v>
      </c>
      <c r="AH180" s="102">
        <f t="shared" si="238"/>
        <v>7.9100000000000004E-2</v>
      </c>
      <c r="AI180" s="21">
        <f t="shared" si="239"/>
        <v>180</v>
      </c>
      <c r="AJ180" s="21">
        <f t="shared" si="240"/>
        <v>60</v>
      </c>
      <c r="AK180" s="101">
        <f t="shared" si="241"/>
        <v>1E-3</v>
      </c>
      <c r="AL180" s="21">
        <f t="shared" si="242"/>
        <v>3</v>
      </c>
      <c r="AM180" s="21">
        <f t="shared" si="243"/>
        <v>1500</v>
      </c>
      <c r="AN180" s="101">
        <f t="shared" si="244"/>
        <v>0.1</v>
      </c>
      <c r="AO180" s="185" t="str">
        <f t="shared" si="251"/>
        <v>NaN</v>
      </c>
    </row>
    <row r="181" spans="1:41" x14ac:dyDescent="0.2">
      <c r="A181" s="3" t="s">
        <v>296</v>
      </c>
      <c r="B181" s="3" t="s">
        <v>296</v>
      </c>
      <c r="C181" s="52">
        <v>35119</v>
      </c>
      <c r="D181" s="105">
        <v>60.731499999999997</v>
      </c>
      <c r="E181" s="105">
        <v>17.325800000000001</v>
      </c>
      <c r="F181" s="20">
        <v>8195</v>
      </c>
      <c r="G181" s="18">
        <v>0</v>
      </c>
      <c r="H181" s="53">
        <v>4</v>
      </c>
      <c r="I181" s="167">
        <f t="shared" si="279"/>
        <v>-0.79</v>
      </c>
      <c r="J181" s="104">
        <f t="shared" si="279"/>
        <v>0.99099999999999999</v>
      </c>
      <c r="K181" s="104">
        <f t="shared" si="279"/>
        <v>-0.112</v>
      </c>
      <c r="L181" s="105">
        <f t="shared" si="287"/>
        <v>0.17100000000000001</v>
      </c>
      <c r="M181" s="105">
        <f t="shared" si="287"/>
        <v>3.9199999999999999E-2</v>
      </c>
      <c r="N181" s="105">
        <f t="shared" si="287"/>
        <v>4.0800000000000003E-2</v>
      </c>
      <c r="O181" s="20">
        <f t="shared" ref="O181:P181" si="294">ROUND(0.165*O157+0.835*O205,0)</f>
        <v>180</v>
      </c>
      <c r="P181" s="20">
        <f t="shared" si="294"/>
        <v>60</v>
      </c>
      <c r="Q181" s="104">
        <f t="shared" si="289"/>
        <v>1E-3</v>
      </c>
      <c r="R181" s="20">
        <f t="shared" ref="R181:S181" si="295">ROUND(0.165*R157+0.835*R205,0)</f>
        <v>3</v>
      </c>
      <c r="S181" s="20">
        <f t="shared" si="295"/>
        <v>1500</v>
      </c>
      <c r="T181" s="104">
        <f t="shared" si="291"/>
        <v>0.1</v>
      </c>
      <c r="U181" s="54" t="s">
        <v>282</v>
      </c>
      <c r="V181" s="21"/>
      <c r="W181" s="58">
        <f t="shared" si="281"/>
        <v>35119</v>
      </c>
      <c r="X181" s="102">
        <f t="shared" si="282"/>
        <v>60.731499999999997</v>
      </c>
      <c r="Y181" s="102">
        <f t="shared" si="283"/>
        <v>17.325800000000001</v>
      </c>
      <c r="Z181" s="21">
        <f t="shared" si="284"/>
        <v>8195</v>
      </c>
      <c r="AA181" s="44">
        <f t="shared" si="285"/>
        <v>0</v>
      </c>
      <c r="AB181" s="21">
        <f t="shared" si="286"/>
        <v>4</v>
      </c>
      <c r="AC181" s="121">
        <f>ROUND(I181+mwreg!$G$23/100,3)</f>
        <v>-0.74</v>
      </c>
      <c r="AD181" s="101">
        <f>ROUND(J181+mwreg!$G$23/100,3)</f>
        <v>1.0409999999999999</v>
      </c>
      <c r="AE181" s="101">
        <f>ROUND(K181+mwreg!$G$23/100,3)</f>
        <v>-6.2E-2</v>
      </c>
      <c r="AF181" s="102">
        <f t="shared" si="203"/>
        <v>0.17100000000000001</v>
      </c>
      <c r="AG181" s="102">
        <f t="shared" si="204"/>
        <v>3.9199999999999999E-2</v>
      </c>
      <c r="AH181" s="102">
        <f t="shared" si="238"/>
        <v>4.0800000000000003E-2</v>
      </c>
      <c r="AI181" s="21">
        <f t="shared" si="239"/>
        <v>180</v>
      </c>
      <c r="AJ181" s="21">
        <f t="shared" si="240"/>
        <v>60</v>
      </c>
      <c r="AK181" s="101">
        <f t="shared" si="241"/>
        <v>1E-3</v>
      </c>
      <c r="AL181" s="21">
        <f t="shared" si="242"/>
        <v>3</v>
      </c>
      <c r="AM181" s="21">
        <f t="shared" si="243"/>
        <v>1500</v>
      </c>
      <c r="AN181" s="101">
        <f t="shared" si="244"/>
        <v>0.1</v>
      </c>
      <c r="AO181" s="185" t="str">
        <f t="shared" si="251"/>
        <v>NaN</v>
      </c>
    </row>
    <row r="182" spans="1:41" x14ac:dyDescent="0.2">
      <c r="A182" s="3" t="s">
        <v>296</v>
      </c>
      <c r="B182" s="3" t="s">
        <v>296</v>
      </c>
      <c r="C182" s="52">
        <v>35119</v>
      </c>
      <c r="D182" s="105">
        <v>60.731499999999997</v>
      </c>
      <c r="E182" s="105">
        <v>17.325800000000001</v>
      </c>
      <c r="F182" s="20">
        <v>8195</v>
      </c>
      <c r="G182" s="18">
        <v>0</v>
      </c>
      <c r="H182" s="53">
        <v>5</v>
      </c>
      <c r="I182" s="167">
        <f t="shared" si="279"/>
        <v>-0.71699999999999997</v>
      </c>
      <c r="J182" s="104">
        <f t="shared" si="279"/>
        <v>0.47899999999999998</v>
      </c>
      <c r="K182" s="104">
        <f t="shared" si="279"/>
        <v>-9.8000000000000004E-2</v>
      </c>
      <c r="L182" s="105">
        <f t="shared" si="287"/>
        <v>0.13969999999999999</v>
      </c>
      <c r="M182" s="105">
        <f t="shared" si="287"/>
        <v>3.5900000000000001E-2</v>
      </c>
      <c r="N182" s="105">
        <f t="shared" si="287"/>
        <v>3.7499999999999999E-2</v>
      </c>
      <c r="O182" s="20">
        <f t="shared" ref="O182:P182" si="296">ROUND(0.165*O158+0.835*O206,0)</f>
        <v>180</v>
      </c>
      <c r="P182" s="20">
        <f t="shared" si="296"/>
        <v>60</v>
      </c>
      <c r="Q182" s="104">
        <f t="shared" si="289"/>
        <v>1E-3</v>
      </c>
      <c r="R182" s="20">
        <f t="shared" ref="R182:S182" si="297">ROUND(0.165*R158+0.835*R206,0)</f>
        <v>3</v>
      </c>
      <c r="S182" s="20">
        <f t="shared" si="297"/>
        <v>1500</v>
      </c>
      <c r="T182" s="104">
        <f t="shared" si="291"/>
        <v>0.1</v>
      </c>
      <c r="U182" s="54" t="s">
        <v>282</v>
      </c>
      <c r="V182" s="21"/>
      <c r="W182" s="58">
        <f t="shared" si="281"/>
        <v>35119</v>
      </c>
      <c r="X182" s="102">
        <f t="shared" si="282"/>
        <v>60.731499999999997</v>
      </c>
      <c r="Y182" s="102">
        <f t="shared" si="283"/>
        <v>17.325800000000001</v>
      </c>
      <c r="Z182" s="21">
        <f t="shared" si="284"/>
        <v>8195</v>
      </c>
      <c r="AA182" s="44">
        <f t="shared" si="285"/>
        <v>0</v>
      </c>
      <c r="AB182" s="21">
        <f t="shared" si="286"/>
        <v>5</v>
      </c>
      <c r="AC182" s="121">
        <f>ROUND(I182+mwreg!$G$23/100,3)</f>
        <v>-0.66700000000000004</v>
      </c>
      <c r="AD182" s="101">
        <f>ROUND(J182+mwreg!$G$23/100,3)</f>
        <v>0.52900000000000003</v>
      </c>
      <c r="AE182" s="101">
        <f>ROUND(K182+mwreg!$G$23/100,3)</f>
        <v>-4.8000000000000001E-2</v>
      </c>
      <c r="AF182" s="102">
        <f t="shared" si="203"/>
        <v>0.13969999999999999</v>
      </c>
      <c r="AG182" s="102">
        <f t="shared" si="204"/>
        <v>3.5900000000000001E-2</v>
      </c>
      <c r="AH182" s="102">
        <f t="shared" si="238"/>
        <v>3.7499999999999999E-2</v>
      </c>
      <c r="AI182" s="21">
        <f t="shared" si="239"/>
        <v>180</v>
      </c>
      <c r="AJ182" s="21">
        <f t="shared" si="240"/>
        <v>60</v>
      </c>
      <c r="AK182" s="101">
        <f t="shared" si="241"/>
        <v>1E-3</v>
      </c>
      <c r="AL182" s="21">
        <f t="shared" si="242"/>
        <v>3</v>
      </c>
      <c r="AM182" s="21">
        <f t="shared" si="243"/>
        <v>1500</v>
      </c>
      <c r="AN182" s="101">
        <f t="shared" si="244"/>
        <v>0.1</v>
      </c>
      <c r="AO182" s="185" t="str">
        <f t="shared" si="251"/>
        <v>NaN</v>
      </c>
    </row>
    <row r="183" spans="1:41" x14ac:dyDescent="0.2">
      <c r="A183" s="3" t="s">
        <v>296</v>
      </c>
      <c r="B183" s="3" t="s">
        <v>296</v>
      </c>
      <c r="C183" s="52">
        <v>35119</v>
      </c>
      <c r="D183" s="105">
        <v>60.731499999999997</v>
      </c>
      <c r="E183" s="105">
        <v>17.325800000000001</v>
      </c>
      <c r="F183" s="20">
        <v>8195</v>
      </c>
      <c r="G183" s="18">
        <v>0</v>
      </c>
      <c r="H183" s="53">
        <v>6</v>
      </c>
      <c r="I183" s="167">
        <f t="shared" si="279"/>
        <v>-0.51600000000000001</v>
      </c>
      <c r="J183" s="104">
        <f t="shared" si="279"/>
        <v>0.497</v>
      </c>
      <c r="K183" s="104">
        <f t="shared" si="279"/>
        <v>-7.0000000000000007E-2</v>
      </c>
      <c r="L183" s="105">
        <f t="shared" si="287"/>
        <v>0.11899999999999999</v>
      </c>
      <c r="M183" s="105">
        <f t="shared" si="287"/>
        <v>0.10929999999999999</v>
      </c>
      <c r="N183" s="105">
        <f t="shared" si="287"/>
        <v>0.111</v>
      </c>
      <c r="O183" s="20">
        <f t="shared" ref="O183:P183" si="298">ROUND(0.165*O159+0.835*O207,0)</f>
        <v>180</v>
      </c>
      <c r="P183" s="20">
        <f t="shared" si="298"/>
        <v>60</v>
      </c>
      <c r="Q183" s="104">
        <f t="shared" si="289"/>
        <v>1E-3</v>
      </c>
      <c r="R183" s="20">
        <f t="shared" ref="R183:S183" si="299">ROUND(0.165*R159+0.835*R207,0)</f>
        <v>3</v>
      </c>
      <c r="S183" s="20">
        <f t="shared" si="299"/>
        <v>1500</v>
      </c>
      <c r="T183" s="104">
        <f t="shared" si="291"/>
        <v>0.1</v>
      </c>
      <c r="U183" s="54" t="s">
        <v>282</v>
      </c>
      <c r="V183" s="21"/>
      <c r="W183" s="58">
        <f t="shared" si="281"/>
        <v>35119</v>
      </c>
      <c r="X183" s="102">
        <f t="shared" si="282"/>
        <v>60.731499999999997</v>
      </c>
      <c r="Y183" s="102">
        <f t="shared" si="283"/>
        <v>17.325800000000001</v>
      </c>
      <c r="Z183" s="21">
        <f t="shared" si="284"/>
        <v>8195</v>
      </c>
      <c r="AA183" s="44">
        <f t="shared" si="285"/>
        <v>0</v>
      </c>
      <c r="AB183" s="21">
        <f t="shared" si="286"/>
        <v>6</v>
      </c>
      <c r="AC183" s="121">
        <f>ROUND(I183+mwreg!$G$23/100,3)</f>
        <v>-0.46600000000000003</v>
      </c>
      <c r="AD183" s="101">
        <f>ROUND(J183+mwreg!$G$23/100,3)</f>
        <v>0.54700000000000004</v>
      </c>
      <c r="AE183" s="101">
        <f>ROUND(K183+mwreg!$G$23/100,3)</f>
        <v>-0.02</v>
      </c>
      <c r="AF183" s="102">
        <f t="shared" si="203"/>
        <v>0.11899999999999999</v>
      </c>
      <c r="AG183" s="102">
        <f t="shared" si="204"/>
        <v>0.10929999999999999</v>
      </c>
      <c r="AH183" s="102">
        <f t="shared" si="238"/>
        <v>0.111</v>
      </c>
      <c r="AI183" s="21">
        <f t="shared" si="239"/>
        <v>180</v>
      </c>
      <c r="AJ183" s="21">
        <f t="shared" si="240"/>
        <v>60</v>
      </c>
      <c r="AK183" s="101">
        <f t="shared" si="241"/>
        <v>1E-3</v>
      </c>
      <c r="AL183" s="21">
        <f t="shared" si="242"/>
        <v>3</v>
      </c>
      <c r="AM183" s="21">
        <f t="shared" si="243"/>
        <v>1500</v>
      </c>
      <c r="AN183" s="101">
        <f t="shared" si="244"/>
        <v>0.1</v>
      </c>
      <c r="AO183" s="185" t="str">
        <f t="shared" si="251"/>
        <v>NaN</v>
      </c>
    </row>
    <row r="184" spans="1:41" x14ac:dyDescent="0.2">
      <c r="A184" s="3" t="s">
        <v>296</v>
      </c>
      <c r="B184" s="3" t="s">
        <v>296</v>
      </c>
      <c r="C184" s="52">
        <v>35119</v>
      </c>
      <c r="D184" s="105">
        <v>60.731499999999997</v>
      </c>
      <c r="E184" s="105">
        <v>17.325800000000001</v>
      </c>
      <c r="F184" s="20">
        <v>8195</v>
      </c>
      <c r="G184" s="18">
        <v>0</v>
      </c>
      <c r="H184" s="53">
        <v>7</v>
      </c>
      <c r="I184" s="167">
        <f t="shared" si="279"/>
        <v>-0.40500000000000003</v>
      </c>
      <c r="J184" s="104">
        <f t="shared" si="279"/>
        <v>0.49199999999999999</v>
      </c>
      <c r="K184" s="104">
        <f t="shared" si="279"/>
        <v>4.3999999999999997E-2</v>
      </c>
      <c r="L184" s="105">
        <f t="shared" si="287"/>
        <v>0.1215</v>
      </c>
      <c r="M184" s="105">
        <f t="shared" si="287"/>
        <v>2.4299999999999999E-2</v>
      </c>
      <c r="N184" s="105">
        <f t="shared" si="287"/>
        <v>2.58E-2</v>
      </c>
      <c r="O184" s="20">
        <f t="shared" ref="O184:P184" si="300">ROUND(0.165*O160+0.835*O208,0)</f>
        <v>180</v>
      </c>
      <c r="P184" s="20">
        <f t="shared" si="300"/>
        <v>60</v>
      </c>
      <c r="Q184" s="104">
        <f t="shared" si="289"/>
        <v>1E-3</v>
      </c>
      <c r="R184" s="20">
        <f t="shared" ref="R184:S184" si="301">ROUND(0.165*R160+0.835*R208,0)</f>
        <v>3</v>
      </c>
      <c r="S184" s="20">
        <f t="shared" si="301"/>
        <v>1500</v>
      </c>
      <c r="T184" s="104">
        <f t="shared" si="291"/>
        <v>0.1</v>
      </c>
      <c r="U184" s="54" t="s">
        <v>282</v>
      </c>
      <c r="V184" s="21"/>
      <c r="W184" s="58">
        <f t="shared" si="281"/>
        <v>35119</v>
      </c>
      <c r="X184" s="102">
        <f t="shared" si="282"/>
        <v>60.731499999999997</v>
      </c>
      <c r="Y184" s="102">
        <f t="shared" si="283"/>
        <v>17.325800000000001</v>
      </c>
      <c r="Z184" s="21">
        <f t="shared" si="284"/>
        <v>8195</v>
      </c>
      <c r="AA184" s="44">
        <f t="shared" si="285"/>
        <v>0</v>
      </c>
      <c r="AB184" s="21">
        <f t="shared" si="286"/>
        <v>7</v>
      </c>
      <c r="AC184" s="121">
        <f>ROUND(I184+mwreg!$G$23/100,3)</f>
        <v>-0.35499999999999998</v>
      </c>
      <c r="AD184" s="101">
        <f>ROUND(J184+mwreg!$G$23/100,3)</f>
        <v>0.54200000000000004</v>
      </c>
      <c r="AE184" s="101">
        <f>ROUND(K184+mwreg!$G$23/100,3)</f>
        <v>9.4E-2</v>
      </c>
      <c r="AF184" s="102">
        <f t="shared" si="203"/>
        <v>0.1215</v>
      </c>
      <c r="AG184" s="102">
        <f t="shared" si="204"/>
        <v>2.4299999999999999E-2</v>
      </c>
      <c r="AH184" s="102">
        <f t="shared" si="238"/>
        <v>2.58E-2</v>
      </c>
      <c r="AI184" s="21">
        <f t="shared" si="239"/>
        <v>180</v>
      </c>
      <c r="AJ184" s="21">
        <f t="shared" si="240"/>
        <v>60</v>
      </c>
      <c r="AK184" s="101">
        <f t="shared" si="241"/>
        <v>1E-3</v>
      </c>
      <c r="AL184" s="21">
        <f t="shared" si="242"/>
        <v>3</v>
      </c>
      <c r="AM184" s="21">
        <f t="shared" si="243"/>
        <v>1500</v>
      </c>
      <c r="AN184" s="101">
        <f t="shared" si="244"/>
        <v>0.1</v>
      </c>
      <c r="AO184" s="185" t="str">
        <f t="shared" si="251"/>
        <v>NaN</v>
      </c>
    </row>
    <row r="185" spans="1:41" x14ac:dyDescent="0.2">
      <c r="A185" s="3" t="s">
        <v>296</v>
      </c>
      <c r="B185" s="3" t="s">
        <v>296</v>
      </c>
      <c r="C185" s="52">
        <v>35119</v>
      </c>
      <c r="D185" s="105">
        <v>60.731499999999997</v>
      </c>
      <c r="E185" s="105">
        <v>17.325800000000001</v>
      </c>
      <c r="F185" s="20">
        <v>8195</v>
      </c>
      <c r="G185" s="18">
        <v>0</v>
      </c>
      <c r="H185" s="53">
        <v>8</v>
      </c>
      <c r="I185" s="167">
        <f t="shared" si="279"/>
        <v>-0.46899999999999997</v>
      </c>
      <c r="J185" s="104">
        <f t="shared" si="279"/>
        <v>0.63700000000000001</v>
      </c>
      <c r="K185" s="104">
        <f t="shared" si="279"/>
        <v>1.4999999999999999E-2</v>
      </c>
      <c r="L185" s="105">
        <f t="shared" si="287"/>
        <v>0.1203</v>
      </c>
      <c r="M185" s="105">
        <f t="shared" si="287"/>
        <v>2.7400000000000001E-2</v>
      </c>
      <c r="N185" s="105">
        <f t="shared" si="287"/>
        <v>2.8799999999999999E-2</v>
      </c>
      <c r="O185" s="20">
        <f t="shared" ref="O185:P185" si="302">ROUND(0.165*O161+0.835*O209,0)</f>
        <v>180</v>
      </c>
      <c r="P185" s="20">
        <f t="shared" si="302"/>
        <v>60</v>
      </c>
      <c r="Q185" s="104">
        <f t="shared" si="289"/>
        <v>1E-3</v>
      </c>
      <c r="R185" s="20">
        <f t="shared" ref="R185:S185" si="303">ROUND(0.165*R161+0.835*R209,0)</f>
        <v>3</v>
      </c>
      <c r="S185" s="20">
        <f t="shared" si="303"/>
        <v>1500</v>
      </c>
      <c r="T185" s="104">
        <f t="shared" si="291"/>
        <v>0.1</v>
      </c>
      <c r="U185" s="54" t="s">
        <v>282</v>
      </c>
      <c r="V185" s="21"/>
      <c r="W185" s="58">
        <f t="shared" si="281"/>
        <v>35119</v>
      </c>
      <c r="X185" s="102">
        <f t="shared" si="282"/>
        <v>60.731499999999997</v>
      </c>
      <c r="Y185" s="102">
        <f t="shared" si="283"/>
        <v>17.325800000000001</v>
      </c>
      <c r="Z185" s="21">
        <f t="shared" si="284"/>
        <v>8195</v>
      </c>
      <c r="AA185" s="44">
        <f t="shared" si="285"/>
        <v>0</v>
      </c>
      <c r="AB185" s="21">
        <f t="shared" si="286"/>
        <v>8</v>
      </c>
      <c r="AC185" s="121">
        <f>ROUND(I185+mwreg!$G$23/100,3)</f>
        <v>-0.41899999999999998</v>
      </c>
      <c r="AD185" s="101">
        <f>ROUND(J185+mwreg!$G$23/100,3)</f>
        <v>0.68700000000000006</v>
      </c>
      <c r="AE185" s="101">
        <f>ROUND(K185+mwreg!$G$23/100,3)</f>
        <v>6.5000000000000002E-2</v>
      </c>
      <c r="AF185" s="102">
        <f t="shared" si="203"/>
        <v>0.1203</v>
      </c>
      <c r="AG185" s="102">
        <f t="shared" si="204"/>
        <v>2.7400000000000001E-2</v>
      </c>
      <c r="AH185" s="102">
        <f t="shared" si="238"/>
        <v>2.8799999999999999E-2</v>
      </c>
      <c r="AI185" s="21">
        <f t="shared" si="239"/>
        <v>180</v>
      </c>
      <c r="AJ185" s="21">
        <f t="shared" si="240"/>
        <v>60</v>
      </c>
      <c r="AK185" s="101">
        <f t="shared" si="241"/>
        <v>1E-3</v>
      </c>
      <c r="AL185" s="21">
        <f t="shared" si="242"/>
        <v>3</v>
      </c>
      <c r="AM185" s="21">
        <f t="shared" si="243"/>
        <v>1500</v>
      </c>
      <c r="AN185" s="101">
        <f t="shared" si="244"/>
        <v>0.1</v>
      </c>
      <c r="AO185" s="185" t="str">
        <f t="shared" si="251"/>
        <v>NaN</v>
      </c>
    </row>
    <row r="186" spans="1:41" x14ac:dyDescent="0.2">
      <c r="A186" s="3" t="s">
        <v>296</v>
      </c>
      <c r="B186" s="3" t="s">
        <v>296</v>
      </c>
      <c r="C186" s="52">
        <v>35119</v>
      </c>
      <c r="D186" s="105">
        <v>60.731499999999997</v>
      </c>
      <c r="E186" s="105">
        <v>17.325800000000001</v>
      </c>
      <c r="F186" s="20">
        <v>8195</v>
      </c>
      <c r="G186" s="18">
        <v>0</v>
      </c>
      <c r="H186" s="53">
        <v>9</v>
      </c>
      <c r="I186" s="167">
        <f t="shared" si="279"/>
        <v>-0.54800000000000004</v>
      </c>
      <c r="J186" s="104">
        <f t="shared" si="279"/>
        <v>0.76200000000000001</v>
      </c>
      <c r="K186" s="104">
        <f t="shared" si="279"/>
        <v>5.8000000000000003E-2</v>
      </c>
      <c r="L186" s="105">
        <f t="shared" si="287"/>
        <v>0.1474</v>
      </c>
      <c r="M186" s="105">
        <f t="shared" si="287"/>
        <v>3.1899999999999998E-2</v>
      </c>
      <c r="N186" s="105">
        <f t="shared" si="287"/>
        <v>3.3599999999999998E-2</v>
      </c>
      <c r="O186" s="20">
        <f t="shared" ref="O186:P186" si="304">ROUND(0.165*O162+0.835*O210,0)</f>
        <v>180</v>
      </c>
      <c r="P186" s="20">
        <f t="shared" si="304"/>
        <v>60</v>
      </c>
      <c r="Q186" s="104">
        <f t="shared" si="289"/>
        <v>1E-3</v>
      </c>
      <c r="R186" s="20">
        <f t="shared" ref="R186:S186" si="305">ROUND(0.165*R162+0.835*R210,0)</f>
        <v>3</v>
      </c>
      <c r="S186" s="20">
        <f t="shared" si="305"/>
        <v>1500</v>
      </c>
      <c r="T186" s="104">
        <f t="shared" si="291"/>
        <v>0.1</v>
      </c>
      <c r="U186" s="54" t="s">
        <v>282</v>
      </c>
      <c r="V186" s="21"/>
      <c r="W186" s="58">
        <f t="shared" si="281"/>
        <v>35119</v>
      </c>
      <c r="X186" s="102">
        <f t="shared" si="282"/>
        <v>60.731499999999997</v>
      </c>
      <c r="Y186" s="102">
        <f t="shared" si="283"/>
        <v>17.325800000000001</v>
      </c>
      <c r="Z186" s="21">
        <f t="shared" si="284"/>
        <v>8195</v>
      </c>
      <c r="AA186" s="44">
        <f t="shared" si="285"/>
        <v>0</v>
      </c>
      <c r="AB186" s="21">
        <f t="shared" si="286"/>
        <v>9</v>
      </c>
      <c r="AC186" s="121">
        <f>ROUND(I186+mwreg!$G$23/100,3)</f>
        <v>-0.498</v>
      </c>
      <c r="AD186" s="101">
        <f>ROUND(J186+mwreg!$G$23/100,3)</f>
        <v>0.81200000000000006</v>
      </c>
      <c r="AE186" s="101">
        <f>ROUND(K186+mwreg!$G$23/100,3)</f>
        <v>0.108</v>
      </c>
      <c r="AF186" s="102">
        <f t="shared" si="203"/>
        <v>0.1474</v>
      </c>
      <c r="AG186" s="102">
        <f t="shared" si="204"/>
        <v>3.1899999999999998E-2</v>
      </c>
      <c r="AH186" s="102">
        <f t="shared" si="238"/>
        <v>3.3599999999999998E-2</v>
      </c>
      <c r="AI186" s="21">
        <f t="shared" si="239"/>
        <v>180</v>
      </c>
      <c r="AJ186" s="21">
        <f t="shared" si="240"/>
        <v>60</v>
      </c>
      <c r="AK186" s="101">
        <f t="shared" si="241"/>
        <v>1E-3</v>
      </c>
      <c r="AL186" s="21">
        <f t="shared" si="242"/>
        <v>3</v>
      </c>
      <c r="AM186" s="21">
        <f t="shared" si="243"/>
        <v>1500</v>
      </c>
      <c r="AN186" s="101">
        <f t="shared" si="244"/>
        <v>0.1</v>
      </c>
      <c r="AO186" s="185" t="str">
        <f t="shared" si="251"/>
        <v>NaN</v>
      </c>
    </row>
    <row r="187" spans="1:41" x14ac:dyDescent="0.2">
      <c r="A187" s="3" t="s">
        <v>296</v>
      </c>
      <c r="B187" s="3" t="s">
        <v>296</v>
      </c>
      <c r="C187" s="52">
        <v>35119</v>
      </c>
      <c r="D187" s="105">
        <v>60.731499999999997</v>
      </c>
      <c r="E187" s="105">
        <v>17.325800000000001</v>
      </c>
      <c r="F187" s="20">
        <v>8195</v>
      </c>
      <c r="G187" s="18">
        <v>0</v>
      </c>
      <c r="H187" s="53">
        <v>10</v>
      </c>
      <c r="I187" s="167">
        <f t="shared" si="279"/>
        <v>-0.627</v>
      </c>
      <c r="J187" s="104">
        <f t="shared" si="279"/>
        <v>0.88</v>
      </c>
      <c r="K187" s="104">
        <f t="shared" si="279"/>
        <v>0.04</v>
      </c>
      <c r="L187" s="105">
        <f t="shared" si="287"/>
        <v>0.18740000000000001</v>
      </c>
      <c r="M187" s="105">
        <f t="shared" si="287"/>
        <v>2.7099999999999999E-2</v>
      </c>
      <c r="N187" s="105">
        <f t="shared" si="287"/>
        <v>2.9000000000000001E-2</v>
      </c>
      <c r="O187" s="20">
        <f t="shared" ref="O187:P187" si="306">ROUND(0.165*O163+0.835*O211,0)</f>
        <v>180</v>
      </c>
      <c r="P187" s="20">
        <f t="shared" si="306"/>
        <v>60</v>
      </c>
      <c r="Q187" s="104">
        <f t="shared" si="289"/>
        <v>1E-3</v>
      </c>
      <c r="R187" s="20">
        <f t="shared" ref="R187:S187" si="307">ROUND(0.165*R163+0.835*R211,0)</f>
        <v>3</v>
      </c>
      <c r="S187" s="20">
        <f t="shared" si="307"/>
        <v>1500</v>
      </c>
      <c r="T187" s="104">
        <f t="shared" si="291"/>
        <v>0.1</v>
      </c>
      <c r="U187" s="54" t="s">
        <v>282</v>
      </c>
      <c r="V187" s="21"/>
      <c r="W187" s="58">
        <f t="shared" si="281"/>
        <v>35119</v>
      </c>
      <c r="X187" s="102">
        <f t="shared" si="282"/>
        <v>60.731499999999997</v>
      </c>
      <c r="Y187" s="102">
        <f t="shared" si="283"/>
        <v>17.325800000000001</v>
      </c>
      <c r="Z187" s="21">
        <f t="shared" si="284"/>
        <v>8195</v>
      </c>
      <c r="AA187" s="44">
        <f t="shared" si="285"/>
        <v>0</v>
      </c>
      <c r="AB187" s="21">
        <f t="shared" si="286"/>
        <v>10</v>
      </c>
      <c r="AC187" s="121">
        <f>ROUND(I187+mwreg!$G$23/100,3)</f>
        <v>-0.57699999999999996</v>
      </c>
      <c r="AD187" s="101">
        <f>ROUND(J187+mwreg!$G$23/100,3)</f>
        <v>0.93</v>
      </c>
      <c r="AE187" s="101">
        <f>ROUND(K187+mwreg!$G$23/100,3)</f>
        <v>0.09</v>
      </c>
      <c r="AF187" s="102">
        <f t="shared" si="203"/>
        <v>0.18740000000000001</v>
      </c>
      <c r="AG187" s="102">
        <f t="shared" si="204"/>
        <v>2.7099999999999999E-2</v>
      </c>
      <c r="AH187" s="102">
        <f t="shared" si="238"/>
        <v>2.9000000000000001E-2</v>
      </c>
      <c r="AI187" s="21">
        <f t="shared" si="239"/>
        <v>180</v>
      </c>
      <c r="AJ187" s="21">
        <f t="shared" si="240"/>
        <v>60</v>
      </c>
      <c r="AK187" s="101">
        <f t="shared" si="241"/>
        <v>1E-3</v>
      </c>
      <c r="AL187" s="21">
        <f t="shared" si="242"/>
        <v>3</v>
      </c>
      <c r="AM187" s="21">
        <f t="shared" si="243"/>
        <v>1500</v>
      </c>
      <c r="AN187" s="101">
        <f t="shared" si="244"/>
        <v>0.1</v>
      </c>
      <c r="AO187" s="185" t="str">
        <f t="shared" si="251"/>
        <v>NaN</v>
      </c>
    </row>
    <row r="188" spans="1:41" x14ac:dyDescent="0.2">
      <c r="A188" s="3" t="s">
        <v>296</v>
      </c>
      <c r="B188" s="3" t="s">
        <v>296</v>
      </c>
      <c r="C188" s="52">
        <v>35119</v>
      </c>
      <c r="D188" s="105">
        <v>60.731499999999997</v>
      </c>
      <c r="E188" s="105">
        <v>17.325800000000001</v>
      </c>
      <c r="F188" s="20">
        <v>8195</v>
      </c>
      <c r="G188" s="18">
        <v>0</v>
      </c>
      <c r="H188" s="53">
        <v>11</v>
      </c>
      <c r="I188" s="167">
        <f t="shared" si="279"/>
        <v>-0.81399999999999995</v>
      </c>
      <c r="J188" s="104">
        <f t="shared" si="279"/>
        <v>1.042</v>
      </c>
      <c r="K188" s="104">
        <f t="shared" si="279"/>
        <v>4.3999999999999997E-2</v>
      </c>
      <c r="L188" s="105">
        <f t="shared" si="287"/>
        <v>0.21190000000000001</v>
      </c>
      <c r="M188" s="105">
        <f t="shared" si="287"/>
        <v>3.0599999999999999E-2</v>
      </c>
      <c r="N188" s="105">
        <f t="shared" si="287"/>
        <v>3.2800000000000003E-2</v>
      </c>
      <c r="O188" s="20">
        <f t="shared" ref="O188:P188" si="308">ROUND(0.165*O164+0.835*O212,0)</f>
        <v>180</v>
      </c>
      <c r="P188" s="20">
        <f t="shared" si="308"/>
        <v>60</v>
      </c>
      <c r="Q188" s="104">
        <f t="shared" si="289"/>
        <v>1E-3</v>
      </c>
      <c r="R188" s="20">
        <f t="shared" ref="R188:S188" si="309">ROUND(0.165*R164+0.835*R212,0)</f>
        <v>3</v>
      </c>
      <c r="S188" s="20">
        <f t="shared" si="309"/>
        <v>1500</v>
      </c>
      <c r="T188" s="104">
        <f t="shared" si="291"/>
        <v>0.1</v>
      </c>
      <c r="U188" s="54" t="s">
        <v>282</v>
      </c>
      <c r="V188" s="21"/>
      <c r="W188" s="58">
        <f t="shared" si="281"/>
        <v>35119</v>
      </c>
      <c r="X188" s="102">
        <f t="shared" si="282"/>
        <v>60.731499999999997</v>
      </c>
      <c r="Y188" s="102">
        <f t="shared" si="283"/>
        <v>17.325800000000001</v>
      </c>
      <c r="Z188" s="21">
        <f t="shared" si="284"/>
        <v>8195</v>
      </c>
      <c r="AA188" s="44">
        <f t="shared" si="285"/>
        <v>0</v>
      </c>
      <c r="AB188" s="21">
        <f t="shared" si="286"/>
        <v>11</v>
      </c>
      <c r="AC188" s="121">
        <f>ROUND(I188+mwreg!$G$23/100,3)</f>
        <v>-0.76400000000000001</v>
      </c>
      <c r="AD188" s="101">
        <f>ROUND(J188+mwreg!$G$23/100,3)</f>
        <v>1.0920000000000001</v>
      </c>
      <c r="AE188" s="101">
        <f>ROUND(K188+mwreg!$G$23/100,3)</f>
        <v>9.4E-2</v>
      </c>
      <c r="AF188" s="102">
        <f t="shared" si="203"/>
        <v>0.21190000000000001</v>
      </c>
      <c r="AG188" s="102">
        <f t="shared" si="204"/>
        <v>3.0599999999999999E-2</v>
      </c>
      <c r="AH188" s="102">
        <f t="shared" si="238"/>
        <v>3.2800000000000003E-2</v>
      </c>
      <c r="AI188" s="21">
        <f t="shared" si="239"/>
        <v>180</v>
      </c>
      <c r="AJ188" s="21">
        <f t="shared" si="240"/>
        <v>60</v>
      </c>
      <c r="AK188" s="101">
        <f t="shared" si="241"/>
        <v>1E-3</v>
      </c>
      <c r="AL188" s="21">
        <f t="shared" si="242"/>
        <v>3</v>
      </c>
      <c r="AM188" s="21">
        <f t="shared" si="243"/>
        <v>1500</v>
      </c>
      <c r="AN188" s="101">
        <f t="shared" si="244"/>
        <v>0.1</v>
      </c>
      <c r="AO188" s="185" t="str">
        <f t="shared" si="251"/>
        <v>NaN</v>
      </c>
    </row>
    <row r="189" spans="1:41" x14ac:dyDescent="0.2">
      <c r="A189" s="3" t="s">
        <v>296</v>
      </c>
      <c r="B189" s="3" t="s">
        <v>296</v>
      </c>
      <c r="C189" s="52">
        <v>35119</v>
      </c>
      <c r="D189" s="105">
        <v>60.731499999999997</v>
      </c>
      <c r="E189" s="105">
        <v>17.325800000000001</v>
      </c>
      <c r="F189" s="20">
        <v>8195</v>
      </c>
      <c r="G189" s="18">
        <v>0</v>
      </c>
      <c r="H189" s="53">
        <v>12</v>
      </c>
      <c r="I189" s="167">
        <f t="shared" si="279"/>
        <v>-0.71799999999999997</v>
      </c>
      <c r="J189" s="104">
        <f t="shared" si="279"/>
        <v>1.343</v>
      </c>
      <c r="K189" s="104">
        <f t="shared" si="279"/>
        <v>0.113</v>
      </c>
      <c r="L189" s="105">
        <f t="shared" si="287"/>
        <v>0.22850000000000001</v>
      </c>
      <c r="M189" s="105">
        <f t="shared" si="287"/>
        <v>5.8099999999999999E-2</v>
      </c>
      <c r="N189" s="105">
        <f t="shared" si="287"/>
        <v>6.0299999999999999E-2</v>
      </c>
      <c r="O189" s="20">
        <f t="shared" ref="O189:P189" si="310">ROUND(0.165*O165+0.835*O213,0)</f>
        <v>180</v>
      </c>
      <c r="P189" s="20">
        <f t="shared" si="310"/>
        <v>60</v>
      </c>
      <c r="Q189" s="104">
        <f t="shared" si="289"/>
        <v>1E-3</v>
      </c>
      <c r="R189" s="20">
        <f t="shared" ref="R189:S189" si="311">ROUND(0.165*R165+0.835*R213,0)</f>
        <v>3</v>
      </c>
      <c r="S189" s="20">
        <f t="shared" si="311"/>
        <v>1500</v>
      </c>
      <c r="T189" s="104">
        <f t="shared" si="291"/>
        <v>0.1</v>
      </c>
      <c r="U189" s="54" t="s">
        <v>282</v>
      </c>
      <c r="V189" s="21"/>
      <c r="W189" s="58">
        <f t="shared" si="281"/>
        <v>35119</v>
      </c>
      <c r="X189" s="102">
        <f t="shared" si="282"/>
        <v>60.731499999999997</v>
      </c>
      <c r="Y189" s="102">
        <f t="shared" si="283"/>
        <v>17.325800000000001</v>
      </c>
      <c r="Z189" s="21">
        <f t="shared" si="284"/>
        <v>8195</v>
      </c>
      <c r="AA189" s="44">
        <f t="shared" si="285"/>
        <v>0</v>
      </c>
      <c r="AB189" s="21">
        <f t="shared" si="286"/>
        <v>12</v>
      </c>
      <c r="AC189" s="121">
        <f>ROUND(I189+mwreg!$G$23/100,3)</f>
        <v>-0.66800000000000004</v>
      </c>
      <c r="AD189" s="101">
        <f>ROUND(J189+mwreg!$G$23/100,3)</f>
        <v>1.393</v>
      </c>
      <c r="AE189" s="101">
        <f>ROUND(K189+mwreg!$G$23/100,3)</f>
        <v>0.16300000000000001</v>
      </c>
      <c r="AF189" s="102">
        <f t="shared" si="203"/>
        <v>0.22850000000000001</v>
      </c>
      <c r="AG189" s="102">
        <f t="shared" si="204"/>
        <v>5.8099999999999999E-2</v>
      </c>
      <c r="AH189" s="102">
        <f t="shared" si="238"/>
        <v>6.0299999999999999E-2</v>
      </c>
      <c r="AI189" s="21">
        <f t="shared" si="239"/>
        <v>180</v>
      </c>
      <c r="AJ189" s="21">
        <f t="shared" si="240"/>
        <v>60</v>
      </c>
      <c r="AK189" s="101">
        <f t="shared" si="241"/>
        <v>1E-3</v>
      </c>
      <c r="AL189" s="21">
        <f t="shared" si="242"/>
        <v>3</v>
      </c>
      <c r="AM189" s="21">
        <f t="shared" si="243"/>
        <v>1500</v>
      </c>
      <c r="AN189" s="101">
        <f t="shared" si="244"/>
        <v>0.1</v>
      </c>
      <c r="AO189" s="185" t="str">
        <f t="shared" si="251"/>
        <v>NaN</v>
      </c>
    </row>
    <row r="190" spans="1:41" x14ac:dyDescent="0.2">
      <c r="A190" s="3" t="str">
        <f>stat_uppg!A24</f>
        <v>2067/33075</v>
      </c>
      <c r="B190" s="3" t="str">
        <f>stat_uppg!B24</f>
        <v>Björn (SMHI) nedlagd</v>
      </c>
      <c r="C190" s="52">
        <v>2067</v>
      </c>
      <c r="D190" s="105">
        <v>60.633299999999998</v>
      </c>
      <c r="E190" s="105">
        <v>17.966699999999999</v>
      </c>
      <c r="F190" s="20">
        <v>8195</v>
      </c>
      <c r="G190" s="18">
        <v>0</v>
      </c>
      <c r="H190" s="53">
        <v>1</v>
      </c>
      <c r="I190" s="167">
        <f t="shared" ref="I190:K201" si="312">ROUND(I202,3)</f>
        <v>-0.71499999999999997</v>
      </c>
      <c r="J190" s="104">
        <f t="shared" si="312"/>
        <v>1.431</v>
      </c>
      <c r="K190" s="104">
        <f t="shared" si="312"/>
        <v>0.14000000000000001</v>
      </c>
      <c r="L190" s="105">
        <f>ROUND(L202,4)</f>
        <v>0.27250000000000002</v>
      </c>
      <c r="M190" s="105">
        <f t="shared" ref="M190:N190" si="313">ROUND(M202,4)</f>
        <v>2.2200000000000001E-2</v>
      </c>
      <c r="N190" s="105">
        <f t="shared" si="313"/>
        <v>2.4E-2</v>
      </c>
      <c r="O190" s="20">
        <f>ROUND(O202,0)</f>
        <v>180</v>
      </c>
      <c r="P190" s="20">
        <f>ROUND(P202,0)</f>
        <v>60</v>
      </c>
      <c r="Q190" s="104">
        <f>ROUND(Q202,3)</f>
        <v>1E-3</v>
      </c>
      <c r="R190" s="20">
        <f>ROUND(R202,0)</f>
        <v>3</v>
      </c>
      <c r="S190" s="20">
        <f>ROUND(S202,0)</f>
        <v>1500</v>
      </c>
      <c r="T190" s="104">
        <f>ROUND(T202,3)</f>
        <v>0.1</v>
      </c>
      <c r="U190" s="123" t="s">
        <v>282</v>
      </c>
      <c r="V190" s="21"/>
      <c r="W190" s="58">
        <f t="shared" si="281"/>
        <v>2067</v>
      </c>
      <c r="X190" s="102">
        <f t="shared" si="282"/>
        <v>60.633299999999998</v>
      </c>
      <c r="Y190" s="102">
        <f t="shared" si="283"/>
        <v>17.966699999999999</v>
      </c>
      <c r="Z190" s="21">
        <f t="shared" si="284"/>
        <v>8195</v>
      </c>
      <c r="AA190" s="44">
        <f t="shared" si="285"/>
        <v>0</v>
      </c>
      <c r="AB190" s="21">
        <f t="shared" si="286"/>
        <v>1</v>
      </c>
      <c r="AC190" s="121">
        <f>ROUND(I190+mwreg!$G$24/100,3)</f>
        <v>-0.65900000000000003</v>
      </c>
      <c r="AD190" s="101">
        <f>ROUND(J190+mwreg!$G$24/100,3)</f>
        <v>1.4870000000000001</v>
      </c>
      <c r="AE190" s="101">
        <f>ROUND(K190+mwreg!$G$24/100,3)</f>
        <v>0.19600000000000001</v>
      </c>
      <c r="AF190" s="102">
        <f t="shared" si="203"/>
        <v>0.27250000000000002</v>
      </c>
      <c r="AG190" s="102">
        <f t="shared" si="204"/>
        <v>2.2200000000000001E-2</v>
      </c>
      <c r="AH190" s="102">
        <f t="shared" si="238"/>
        <v>2.4E-2</v>
      </c>
      <c r="AI190" s="21">
        <f t="shared" si="239"/>
        <v>180</v>
      </c>
      <c r="AJ190" s="21">
        <f t="shared" si="240"/>
        <v>60</v>
      </c>
      <c r="AK190" s="101">
        <f t="shared" si="241"/>
        <v>1E-3</v>
      </c>
      <c r="AL190" s="21">
        <f t="shared" si="242"/>
        <v>3</v>
      </c>
      <c r="AM190" s="21">
        <f t="shared" si="243"/>
        <v>1500</v>
      </c>
      <c r="AN190" s="101">
        <f t="shared" si="244"/>
        <v>0.1</v>
      </c>
      <c r="AO190" s="185" t="str">
        <f t="shared" si="251"/>
        <v>NaN</v>
      </c>
    </row>
    <row r="191" spans="1:41" x14ac:dyDescent="0.2">
      <c r="A191" s="3" t="s">
        <v>296</v>
      </c>
      <c r="B191" s="3" t="s">
        <v>296</v>
      </c>
      <c r="C191" s="52">
        <v>2067</v>
      </c>
      <c r="D191" s="105">
        <v>60.633299999999998</v>
      </c>
      <c r="E191" s="105">
        <v>17.966699999999999</v>
      </c>
      <c r="F191" s="20">
        <v>8195</v>
      </c>
      <c r="G191" s="18">
        <v>0</v>
      </c>
      <c r="H191" s="53">
        <v>2</v>
      </c>
      <c r="I191" s="167">
        <f t="shared" si="312"/>
        <v>-0.70699999999999996</v>
      </c>
      <c r="J191" s="104">
        <f t="shared" si="312"/>
        <v>1.202</v>
      </c>
      <c r="K191" s="104">
        <f t="shared" si="312"/>
        <v>7.4999999999999997E-2</v>
      </c>
      <c r="L191" s="105">
        <f t="shared" ref="L191:N201" si="314">ROUND(L203,4)</f>
        <v>0.2954</v>
      </c>
      <c r="M191" s="105">
        <f t="shared" si="314"/>
        <v>2.8199999999999999E-2</v>
      </c>
      <c r="N191" s="105">
        <f t="shared" si="314"/>
        <v>0.03</v>
      </c>
      <c r="O191" s="20">
        <f t="shared" ref="O191:P191" si="315">ROUND(O203,0)</f>
        <v>180</v>
      </c>
      <c r="P191" s="20">
        <f t="shared" si="315"/>
        <v>60</v>
      </c>
      <c r="Q191" s="104">
        <f t="shared" ref="Q191:Q201" si="316">ROUND(Q203,3)</f>
        <v>1E-3</v>
      </c>
      <c r="R191" s="20">
        <f t="shared" ref="R191:S191" si="317">ROUND(R203,0)</f>
        <v>3</v>
      </c>
      <c r="S191" s="20">
        <f t="shared" si="317"/>
        <v>1500</v>
      </c>
      <c r="T191" s="104">
        <f t="shared" ref="T191:T201" si="318">ROUND(T203,3)</f>
        <v>0.1</v>
      </c>
      <c r="U191" s="123" t="s">
        <v>282</v>
      </c>
      <c r="V191" s="21"/>
      <c r="W191" s="58">
        <f t="shared" si="281"/>
        <v>2067</v>
      </c>
      <c r="X191" s="102">
        <f t="shared" si="282"/>
        <v>60.633299999999998</v>
      </c>
      <c r="Y191" s="102">
        <f t="shared" si="283"/>
        <v>17.966699999999999</v>
      </c>
      <c r="Z191" s="21">
        <f t="shared" si="284"/>
        <v>8195</v>
      </c>
      <c r="AA191" s="44">
        <f t="shared" si="285"/>
        <v>0</v>
      </c>
      <c r="AB191" s="21">
        <f t="shared" si="286"/>
        <v>2</v>
      </c>
      <c r="AC191" s="121">
        <f>ROUND(I191+mwreg!$G$24/100,3)</f>
        <v>-0.65100000000000002</v>
      </c>
      <c r="AD191" s="101">
        <f>ROUND(J191+mwreg!$G$24/100,3)</f>
        <v>1.258</v>
      </c>
      <c r="AE191" s="101">
        <f>ROUND(K191+mwreg!$G$24/100,3)</f>
        <v>0.13100000000000001</v>
      </c>
      <c r="AF191" s="102">
        <f t="shared" ref="AF191:AF266" si="319">L191</f>
        <v>0.2954</v>
      </c>
      <c r="AG191" s="102">
        <f t="shared" ref="AG191:AG266" si="320">M191</f>
        <v>2.8199999999999999E-2</v>
      </c>
      <c r="AH191" s="102">
        <f t="shared" si="238"/>
        <v>0.03</v>
      </c>
      <c r="AI191" s="21">
        <f t="shared" si="239"/>
        <v>180</v>
      </c>
      <c r="AJ191" s="21">
        <f t="shared" si="240"/>
        <v>60</v>
      </c>
      <c r="AK191" s="101">
        <f t="shared" si="241"/>
        <v>1E-3</v>
      </c>
      <c r="AL191" s="21">
        <f t="shared" si="242"/>
        <v>3</v>
      </c>
      <c r="AM191" s="21">
        <f t="shared" si="243"/>
        <v>1500</v>
      </c>
      <c r="AN191" s="101">
        <f t="shared" si="244"/>
        <v>0.1</v>
      </c>
      <c r="AO191" s="185" t="str">
        <f t="shared" si="251"/>
        <v>NaN</v>
      </c>
    </row>
    <row r="192" spans="1:41" x14ac:dyDescent="0.2">
      <c r="A192" s="3" t="s">
        <v>296</v>
      </c>
      <c r="B192" s="3" t="s">
        <v>296</v>
      </c>
      <c r="C192" s="52">
        <v>2067</v>
      </c>
      <c r="D192" s="105">
        <v>60.633299999999998</v>
      </c>
      <c r="E192" s="105">
        <v>17.966699999999999</v>
      </c>
      <c r="F192" s="20">
        <v>8195</v>
      </c>
      <c r="G192" s="18">
        <v>0</v>
      </c>
      <c r="H192" s="53">
        <v>3</v>
      </c>
      <c r="I192" s="167">
        <f t="shared" si="312"/>
        <v>-0.68200000000000005</v>
      </c>
      <c r="J192" s="104">
        <f t="shared" si="312"/>
        <v>1.121</v>
      </c>
      <c r="K192" s="104">
        <f t="shared" si="312"/>
        <v>-0.01</v>
      </c>
      <c r="L192" s="105">
        <f t="shared" si="314"/>
        <v>0.24890000000000001</v>
      </c>
      <c r="M192" s="105">
        <f t="shared" si="314"/>
        <v>7.3200000000000001E-2</v>
      </c>
      <c r="N192" s="105">
        <f t="shared" si="314"/>
        <v>7.4999999999999997E-2</v>
      </c>
      <c r="O192" s="20">
        <f t="shared" ref="O192:P192" si="321">ROUND(O204,0)</f>
        <v>180</v>
      </c>
      <c r="P192" s="20">
        <f t="shared" si="321"/>
        <v>60</v>
      </c>
      <c r="Q192" s="104">
        <f t="shared" si="316"/>
        <v>1E-3</v>
      </c>
      <c r="R192" s="20">
        <f t="shared" ref="R192:S192" si="322">ROUND(R204,0)</f>
        <v>3</v>
      </c>
      <c r="S192" s="20">
        <f t="shared" si="322"/>
        <v>1500</v>
      </c>
      <c r="T192" s="104">
        <f t="shared" si="318"/>
        <v>0.1</v>
      </c>
      <c r="U192" s="123" t="s">
        <v>282</v>
      </c>
      <c r="V192" s="21"/>
      <c r="W192" s="58">
        <f t="shared" si="281"/>
        <v>2067</v>
      </c>
      <c r="X192" s="102">
        <f t="shared" si="282"/>
        <v>60.633299999999998</v>
      </c>
      <c r="Y192" s="102">
        <f t="shared" si="283"/>
        <v>17.966699999999999</v>
      </c>
      <c r="Z192" s="21">
        <f t="shared" si="284"/>
        <v>8195</v>
      </c>
      <c r="AA192" s="44">
        <f t="shared" si="285"/>
        <v>0</v>
      </c>
      <c r="AB192" s="21">
        <f t="shared" si="286"/>
        <v>3</v>
      </c>
      <c r="AC192" s="121">
        <f>ROUND(I192+mwreg!$G$24/100,3)</f>
        <v>-0.626</v>
      </c>
      <c r="AD192" s="101">
        <f>ROUND(J192+mwreg!$G$24/100,3)</f>
        <v>1.177</v>
      </c>
      <c r="AE192" s="101">
        <f>ROUND(K192+mwreg!$G$24/100,3)</f>
        <v>4.5999999999999999E-2</v>
      </c>
      <c r="AF192" s="102">
        <f t="shared" si="319"/>
        <v>0.24890000000000001</v>
      </c>
      <c r="AG192" s="102">
        <f t="shared" si="320"/>
        <v>7.3200000000000001E-2</v>
      </c>
      <c r="AH192" s="102">
        <f t="shared" si="238"/>
        <v>7.4999999999999997E-2</v>
      </c>
      <c r="AI192" s="21">
        <f t="shared" si="239"/>
        <v>180</v>
      </c>
      <c r="AJ192" s="21">
        <f t="shared" si="240"/>
        <v>60</v>
      </c>
      <c r="AK192" s="101">
        <f t="shared" si="241"/>
        <v>1E-3</v>
      </c>
      <c r="AL192" s="21">
        <f t="shared" si="242"/>
        <v>3</v>
      </c>
      <c r="AM192" s="21">
        <f t="shared" si="243"/>
        <v>1500</v>
      </c>
      <c r="AN192" s="101">
        <f t="shared" si="244"/>
        <v>0.1</v>
      </c>
      <c r="AO192" s="185" t="str">
        <f t="shared" si="251"/>
        <v>NaN</v>
      </c>
    </row>
    <row r="193" spans="1:41" x14ac:dyDescent="0.2">
      <c r="A193" s="3" t="s">
        <v>296</v>
      </c>
      <c r="B193" s="3" t="s">
        <v>296</v>
      </c>
      <c r="C193" s="52">
        <v>2067</v>
      </c>
      <c r="D193" s="105">
        <v>60.633299999999998</v>
      </c>
      <c r="E193" s="105">
        <v>17.966699999999999</v>
      </c>
      <c r="F193" s="20">
        <v>8195</v>
      </c>
      <c r="G193" s="18">
        <v>0</v>
      </c>
      <c r="H193" s="53">
        <v>4</v>
      </c>
      <c r="I193" s="167">
        <f t="shared" si="312"/>
        <v>-0.78400000000000003</v>
      </c>
      <c r="J193" s="104">
        <f t="shared" si="312"/>
        <v>1.0589999999999999</v>
      </c>
      <c r="K193" s="104">
        <f t="shared" si="312"/>
        <v>-0.11</v>
      </c>
      <c r="L193" s="105">
        <f t="shared" si="314"/>
        <v>0.1704</v>
      </c>
      <c r="M193" s="105">
        <f t="shared" si="314"/>
        <v>3.4500000000000003E-2</v>
      </c>
      <c r="N193" s="105">
        <f t="shared" si="314"/>
        <v>3.5999999999999997E-2</v>
      </c>
      <c r="O193" s="20">
        <f t="shared" ref="O193:P193" si="323">ROUND(O205,0)</f>
        <v>180</v>
      </c>
      <c r="P193" s="20">
        <f t="shared" si="323"/>
        <v>60</v>
      </c>
      <c r="Q193" s="104">
        <f t="shared" si="316"/>
        <v>1E-3</v>
      </c>
      <c r="R193" s="20">
        <f t="shared" ref="R193:S193" si="324">ROUND(R205,0)</f>
        <v>3</v>
      </c>
      <c r="S193" s="20">
        <f t="shared" si="324"/>
        <v>1500</v>
      </c>
      <c r="T193" s="104">
        <f t="shared" si="318"/>
        <v>0.1</v>
      </c>
      <c r="U193" s="123" t="s">
        <v>282</v>
      </c>
      <c r="V193" s="21"/>
      <c r="W193" s="58">
        <f t="shared" si="281"/>
        <v>2067</v>
      </c>
      <c r="X193" s="102">
        <f t="shared" si="282"/>
        <v>60.633299999999998</v>
      </c>
      <c r="Y193" s="102">
        <f t="shared" si="283"/>
        <v>17.966699999999999</v>
      </c>
      <c r="Z193" s="21">
        <f t="shared" si="284"/>
        <v>8195</v>
      </c>
      <c r="AA193" s="44">
        <f t="shared" si="285"/>
        <v>0</v>
      </c>
      <c r="AB193" s="21">
        <f t="shared" si="286"/>
        <v>4</v>
      </c>
      <c r="AC193" s="121">
        <f>ROUND(I193+mwreg!$G$24/100,3)</f>
        <v>-0.72799999999999998</v>
      </c>
      <c r="AD193" s="101">
        <f>ROUND(J193+mwreg!$G$24/100,3)</f>
        <v>1.115</v>
      </c>
      <c r="AE193" s="101">
        <f>ROUND(K193+mwreg!$G$24/100,3)</f>
        <v>-5.3999999999999999E-2</v>
      </c>
      <c r="AF193" s="102">
        <f t="shared" si="319"/>
        <v>0.1704</v>
      </c>
      <c r="AG193" s="102">
        <f t="shared" si="320"/>
        <v>3.4500000000000003E-2</v>
      </c>
      <c r="AH193" s="102">
        <f t="shared" si="238"/>
        <v>3.5999999999999997E-2</v>
      </c>
      <c r="AI193" s="21">
        <f t="shared" si="239"/>
        <v>180</v>
      </c>
      <c r="AJ193" s="21">
        <f t="shared" si="240"/>
        <v>60</v>
      </c>
      <c r="AK193" s="101">
        <f t="shared" si="241"/>
        <v>1E-3</v>
      </c>
      <c r="AL193" s="21">
        <f t="shared" si="242"/>
        <v>3</v>
      </c>
      <c r="AM193" s="21">
        <f t="shared" si="243"/>
        <v>1500</v>
      </c>
      <c r="AN193" s="101">
        <f t="shared" si="244"/>
        <v>0.1</v>
      </c>
      <c r="AO193" s="185" t="str">
        <f t="shared" si="251"/>
        <v>NaN</v>
      </c>
    </row>
    <row r="194" spans="1:41" x14ac:dyDescent="0.2">
      <c r="A194" s="3" t="s">
        <v>296</v>
      </c>
      <c r="B194" s="3" t="s">
        <v>296</v>
      </c>
      <c r="C194" s="52">
        <v>2067</v>
      </c>
      <c r="D194" s="105">
        <v>60.633299999999998</v>
      </c>
      <c r="E194" s="105">
        <v>17.966699999999999</v>
      </c>
      <c r="F194" s="20">
        <v>8195</v>
      </c>
      <c r="G194" s="18">
        <v>0</v>
      </c>
      <c r="H194" s="53">
        <v>5</v>
      </c>
      <c r="I194" s="167">
        <f t="shared" si="312"/>
        <v>-0.71</v>
      </c>
      <c r="J194" s="104">
        <f t="shared" si="312"/>
        <v>0.502</v>
      </c>
      <c r="K194" s="104">
        <f t="shared" si="312"/>
        <v>-9.8000000000000004E-2</v>
      </c>
      <c r="L194" s="105">
        <f t="shared" si="314"/>
        <v>0.13830000000000001</v>
      </c>
      <c r="M194" s="105">
        <f t="shared" si="314"/>
        <v>3.4599999999999999E-2</v>
      </c>
      <c r="N194" s="105">
        <f t="shared" si="314"/>
        <v>3.5999999999999997E-2</v>
      </c>
      <c r="O194" s="20">
        <f t="shared" ref="O194:P194" si="325">ROUND(O206,0)</f>
        <v>180</v>
      </c>
      <c r="P194" s="20">
        <f t="shared" si="325"/>
        <v>60</v>
      </c>
      <c r="Q194" s="104">
        <f t="shared" si="316"/>
        <v>1E-3</v>
      </c>
      <c r="R194" s="20">
        <f t="shared" ref="R194:S194" si="326">ROUND(R206,0)</f>
        <v>3</v>
      </c>
      <c r="S194" s="20">
        <f t="shared" si="326"/>
        <v>1500</v>
      </c>
      <c r="T194" s="104">
        <f t="shared" si="318"/>
        <v>0.1</v>
      </c>
      <c r="U194" s="123" t="s">
        <v>282</v>
      </c>
      <c r="V194" s="21"/>
      <c r="W194" s="58">
        <f t="shared" si="281"/>
        <v>2067</v>
      </c>
      <c r="X194" s="102">
        <f t="shared" si="282"/>
        <v>60.633299999999998</v>
      </c>
      <c r="Y194" s="102">
        <f t="shared" si="283"/>
        <v>17.966699999999999</v>
      </c>
      <c r="Z194" s="21">
        <f t="shared" si="284"/>
        <v>8195</v>
      </c>
      <c r="AA194" s="44">
        <f t="shared" si="285"/>
        <v>0</v>
      </c>
      <c r="AB194" s="21">
        <f t="shared" si="286"/>
        <v>5</v>
      </c>
      <c r="AC194" s="121">
        <f>ROUND(I194+mwreg!$G$24/100,3)</f>
        <v>-0.65400000000000003</v>
      </c>
      <c r="AD194" s="101">
        <f>ROUND(J194+mwreg!$G$24/100,3)</f>
        <v>0.55800000000000005</v>
      </c>
      <c r="AE194" s="101">
        <f>ROUND(K194+mwreg!$G$24/100,3)</f>
        <v>-4.2000000000000003E-2</v>
      </c>
      <c r="AF194" s="102">
        <f t="shared" si="319"/>
        <v>0.13830000000000001</v>
      </c>
      <c r="AG194" s="102">
        <f t="shared" si="320"/>
        <v>3.4599999999999999E-2</v>
      </c>
      <c r="AH194" s="102">
        <f t="shared" si="238"/>
        <v>3.5999999999999997E-2</v>
      </c>
      <c r="AI194" s="21">
        <f t="shared" si="239"/>
        <v>180</v>
      </c>
      <c r="AJ194" s="21">
        <f t="shared" si="240"/>
        <v>60</v>
      </c>
      <c r="AK194" s="101">
        <f t="shared" si="241"/>
        <v>1E-3</v>
      </c>
      <c r="AL194" s="21">
        <f t="shared" si="242"/>
        <v>3</v>
      </c>
      <c r="AM194" s="21">
        <f t="shared" si="243"/>
        <v>1500</v>
      </c>
      <c r="AN194" s="101">
        <f t="shared" si="244"/>
        <v>0.1</v>
      </c>
      <c r="AO194" s="185" t="str">
        <f t="shared" si="251"/>
        <v>NaN</v>
      </c>
    </row>
    <row r="195" spans="1:41" x14ac:dyDescent="0.2">
      <c r="A195" s="3" t="s">
        <v>296</v>
      </c>
      <c r="B195" s="3" t="s">
        <v>296</v>
      </c>
      <c r="C195" s="52">
        <v>2067</v>
      </c>
      <c r="D195" s="105">
        <v>60.633299999999998</v>
      </c>
      <c r="E195" s="105">
        <v>17.966699999999999</v>
      </c>
      <c r="F195" s="20">
        <v>8195</v>
      </c>
      <c r="G195" s="18">
        <v>0</v>
      </c>
      <c r="H195" s="53">
        <v>6</v>
      </c>
      <c r="I195" s="167">
        <f t="shared" si="312"/>
        <v>-0.51600000000000001</v>
      </c>
      <c r="J195" s="104">
        <f t="shared" si="312"/>
        <v>0.50800000000000001</v>
      </c>
      <c r="K195" s="104">
        <f t="shared" si="312"/>
        <v>-7.0000000000000007E-2</v>
      </c>
      <c r="L195" s="105">
        <f t="shared" si="314"/>
        <v>0.1168</v>
      </c>
      <c r="M195" s="105">
        <f t="shared" si="314"/>
        <v>0.12239999999999999</v>
      </c>
      <c r="N195" s="105">
        <f t="shared" si="314"/>
        <v>0.124</v>
      </c>
      <c r="O195" s="20">
        <f t="shared" ref="O195:P195" si="327">ROUND(O207,0)</f>
        <v>180</v>
      </c>
      <c r="P195" s="20">
        <f t="shared" si="327"/>
        <v>60</v>
      </c>
      <c r="Q195" s="104">
        <f t="shared" si="316"/>
        <v>1E-3</v>
      </c>
      <c r="R195" s="20">
        <f t="shared" ref="R195:S195" si="328">ROUND(R207,0)</f>
        <v>3</v>
      </c>
      <c r="S195" s="20">
        <f t="shared" si="328"/>
        <v>1500</v>
      </c>
      <c r="T195" s="104">
        <f t="shared" si="318"/>
        <v>0.1</v>
      </c>
      <c r="U195" s="123" t="s">
        <v>282</v>
      </c>
      <c r="V195" s="21"/>
      <c r="W195" s="58">
        <f t="shared" si="281"/>
        <v>2067</v>
      </c>
      <c r="X195" s="102">
        <f t="shared" si="282"/>
        <v>60.633299999999998</v>
      </c>
      <c r="Y195" s="102">
        <f t="shared" si="283"/>
        <v>17.966699999999999</v>
      </c>
      <c r="Z195" s="21">
        <f t="shared" si="284"/>
        <v>8195</v>
      </c>
      <c r="AA195" s="44">
        <f t="shared" si="285"/>
        <v>0</v>
      </c>
      <c r="AB195" s="21">
        <f t="shared" si="286"/>
        <v>6</v>
      </c>
      <c r="AC195" s="121">
        <f>ROUND(I195+mwreg!$G$24/100,3)</f>
        <v>-0.46</v>
      </c>
      <c r="AD195" s="101">
        <f>ROUND(J195+mwreg!$G$24/100,3)</f>
        <v>0.56399999999999995</v>
      </c>
      <c r="AE195" s="101">
        <f>ROUND(K195+mwreg!$G$24/100,3)</f>
        <v>-1.4E-2</v>
      </c>
      <c r="AF195" s="102">
        <f t="shared" si="319"/>
        <v>0.1168</v>
      </c>
      <c r="AG195" s="102">
        <f t="shared" si="320"/>
        <v>0.12239999999999999</v>
      </c>
      <c r="AH195" s="102">
        <f t="shared" si="238"/>
        <v>0.124</v>
      </c>
      <c r="AI195" s="21">
        <f t="shared" si="239"/>
        <v>180</v>
      </c>
      <c r="AJ195" s="21">
        <f t="shared" si="240"/>
        <v>60</v>
      </c>
      <c r="AK195" s="101">
        <f t="shared" si="241"/>
        <v>1E-3</v>
      </c>
      <c r="AL195" s="21">
        <f t="shared" si="242"/>
        <v>3</v>
      </c>
      <c r="AM195" s="21">
        <f t="shared" si="243"/>
        <v>1500</v>
      </c>
      <c r="AN195" s="101">
        <f t="shared" si="244"/>
        <v>0.1</v>
      </c>
      <c r="AO195" s="185" t="str">
        <f t="shared" si="251"/>
        <v>NaN</v>
      </c>
    </row>
    <row r="196" spans="1:41" x14ac:dyDescent="0.2">
      <c r="A196" s="3" t="s">
        <v>296</v>
      </c>
      <c r="B196" s="3" t="s">
        <v>296</v>
      </c>
      <c r="C196" s="52">
        <v>2067</v>
      </c>
      <c r="D196" s="105">
        <v>60.633299999999998</v>
      </c>
      <c r="E196" s="105">
        <v>17.966699999999999</v>
      </c>
      <c r="F196" s="20">
        <v>8195</v>
      </c>
      <c r="G196" s="18">
        <v>0</v>
      </c>
      <c r="H196" s="53">
        <v>7</v>
      </c>
      <c r="I196" s="167">
        <f t="shared" si="312"/>
        <v>-0.41099999999999998</v>
      </c>
      <c r="J196" s="104">
        <f t="shared" si="312"/>
        <v>0.495</v>
      </c>
      <c r="K196" s="104">
        <f t="shared" si="312"/>
        <v>4.5999999999999999E-2</v>
      </c>
      <c r="L196" s="105">
        <f t="shared" si="314"/>
        <v>0.1201</v>
      </c>
      <c r="M196" s="105">
        <f t="shared" si="314"/>
        <v>1.67E-2</v>
      </c>
      <c r="N196" s="105">
        <f t="shared" si="314"/>
        <v>1.7999999999999999E-2</v>
      </c>
      <c r="O196" s="20">
        <f t="shared" ref="O196:P196" si="329">ROUND(O208,0)</f>
        <v>180</v>
      </c>
      <c r="P196" s="20">
        <f t="shared" si="329"/>
        <v>60</v>
      </c>
      <c r="Q196" s="104">
        <f t="shared" si="316"/>
        <v>1E-3</v>
      </c>
      <c r="R196" s="20">
        <f t="shared" ref="R196:S196" si="330">ROUND(R208,0)</f>
        <v>3</v>
      </c>
      <c r="S196" s="20">
        <f t="shared" si="330"/>
        <v>1500</v>
      </c>
      <c r="T196" s="104">
        <f t="shared" si="318"/>
        <v>0.1</v>
      </c>
      <c r="U196" s="123" t="s">
        <v>282</v>
      </c>
      <c r="V196" s="21"/>
      <c r="W196" s="58">
        <f t="shared" si="281"/>
        <v>2067</v>
      </c>
      <c r="X196" s="102">
        <f t="shared" si="282"/>
        <v>60.633299999999998</v>
      </c>
      <c r="Y196" s="102">
        <f t="shared" si="283"/>
        <v>17.966699999999999</v>
      </c>
      <c r="Z196" s="21">
        <f t="shared" si="284"/>
        <v>8195</v>
      </c>
      <c r="AA196" s="44">
        <f t="shared" si="285"/>
        <v>0</v>
      </c>
      <c r="AB196" s="21">
        <f t="shared" si="286"/>
        <v>7</v>
      </c>
      <c r="AC196" s="121">
        <f>ROUND(I196+mwreg!$G$24/100,3)</f>
        <v>-0.35499999999999998</v>
      </c>
      <c r="AD196" s="101">
        <f>ROUND(J196+mwreg!$G$24/100,3)</f>
        <v>0.55100000000000005</v>
      </c>
      <c r="AE196" s="101">
        <f>ROUND(K196+mwreg!$G$24/100,3)</f>
        <v>0.10199999999999999</v>
      </c>
      <c r="AF196" s="102">
        <f t="shared" si="319"/>
        <v>0.1201</v>
      </c>
      <c r="AG196" s="102">
        <f t="shared" si="320"/>
        <v>1.67E-2</v>
      </c>
      <c r="AH196" s="102">
        <f t="shared" si="238"/>
        <v>1.7999999999999999E-2</v>
      </c>
      <c r="AI196" s="21">
        <f t="shared" si="239"/>
        <v>180</v>
      </c>
      <c r="AJ196" s="21">
        <f t="shared" si="240"/>
        <v>60</v>
      </c>
      <c r="AK196" s="101">
        <f t="shared" si="241"/>
        <v>1E-3</v>
      </c>
      <c r="AL196" s="21">
        <f t="shared" si="242"/>
        <v>3</v>
      </c>
      <c r="AM196" s="21">
        <f t="shared" si="243"/>
        <v>1500</v>
      </c>
      <c r="AN196" s="101">
        <f t="shared" si="244"/>
        <v>0.1</v>
      </c>
      <c r="AO196" s="185" t="str">
        <f t="shared" si="251"/>
        <v>NaN</v>
      </c>
    </row>
    <row r="197" spans="1:41" x14ac:dyDescent="0.2">
      <c r="A197" s="3" t="s">
        <v>296</v>
      </c>
      <c r="B197" s="3" t="s">
        <v>296</v>
      </c>
      <c r="C197" s="52">
        <v>2067</v>
      </c>
      <c r="D197" s="105">
        <v>60.633299999999998</v>
      </c>
      <c r="E197" s="105">
        <v>17.966699999999999</v>
      </c>
      <c r="F197" s="20">
        <v>8195</v>
      </c>
      <c r="G197" s="18">
        <v>0</v>
      </c>
      <c r="H197" s="53">
        <v>8</v>
      </c>
      <c r="I197" s="167">
        <f t="shared" si="312"/>
        <v>-0.44600000000000001</v>
      </c>
      <c r="J197" s="104">
        <f t="shared" si="312"/>
        <v>0.623</v>
      </c>
      <c r="K197" s="104">
        <f t="shared" si="312"/>
        <v>1.2999999999999999E-2</v>
      </c>
      <c r="L197" s="105">
        <f t="shared" si="314"/>
        <v>0.1203</v>
      </c>
      <c r="M197" s="105">
        <f t="shared" si="314"/>
        <v>2.3800000000000002E-2</v>
      </c>
      <c r="N197" s="105">
        <f t="shared" si="314"/>
        <v>2.5000000000000001E-2</v>
      </c>
      <c r="O197" s="20">
        <f t="shared" ref="O197:P197" si="331">ROUND(O209,0)</f>
        <v>180</v>
      </c>
      <c r="P197" s="20">
        <f t="shared" si="331"/>
        <v>60</v>
      </c>
      <c r="Q197" s="104">
        <f t="shared" si="316"/>
        <v>1E-3</v>
      </c>
      <c r="R197" s="20">
        <f t="shared" ref="R197:S197" si="332">ROUND(R209,0)</f>
        <v>3</v>
      </c>
      <c r="S197" s="20">
        <f t="shared" si="332"/>
        <v>1500</v>
      </c>
      <c r="T197" s="104">
        <f t="shared" si="318"/>
        <v>0.1</v>
      </c>
      <c r="U197" s="123" t="s">
        <v>282</v>
      </c>
      <c r="V197" s="21"/>
      <c r="W197" s="58">
        <f t="shared" si="281"/>
        <v>2067</v>
      </c>
      <c r="X197" s="102">
        <f t="shared" si="282"/>
        <v>60.633299999999998</v>
      </c>
      <c r="Y197" s="102">
        <f t="shared" si="283"/>
        <v>17.966699999999999</v>
      </c>
      <c r="Z197" s="21">
        <f t="shared" si="284"/>
        <v>8195</v>
      </c>
      <c r="AA197" s="44">
        <f t="shared" si="285"/>
        <v>0</v>
      </c>
      <c r="AB197" s="21">
        <f t="shared" si="286"/>
        <v>8</v>
      </c>
      <c r="AC197" s="121">
        <f>ROUND(I197+mwreg!$G$24/100,3)</f>
        <v>-0.39</v>
      </c>
      <c r="AD197" s="101">
        <f>ROUND(J197+mwreg!$G$24/100,3)</f>
        <v>0.67900000000000005</v>
      </c>
      <c r="AE197" s="101">
        <f>ROUND(K197+mwreg!$G$24/100,3)</f>
        <v>6.9000000000000006E-2</v>
      </c>
      <c r="AF197" s="102">
        <f t="shared" si="319"/>
        <v>0.1203</v>
      </c>
      <c r="AG197" s="102">
        <f t="shared" si="320"/>
        <v>2.3800000000000002E-2</v>
      </c>
      <c r="AH197" s="102">
        <f t="shared" si="238"/>
        <v>2.5000000000000001E-2</v>
      </c>
      <c r="AI197" s="21">
        <f t="shared" si="239"/>
        <v>180</v>
      </c>
      <c r="AJ197" s="21">
        <f t="shared" si="240"/>
        <v>60</v>
      </c>
      <c r="AK197" s="101">
        <f t="shared" si="241"/>
        <v>1E-3</v>
      </c>
      <c r="AL197" s="21">
        <f t="shared" si="242"/>
        <v>3</v>
      </c>
      <c r="AM197" s="21">
        <f t="shared" si="243"/>
        <v>1500</v>
      </c>
      <c r="AN197" s="101">
        <f t="shared" si="244"/>
        <v>0.1</v>
      </c>
      <c r="AO197" s="185" t="str">
        <f t="shared" si="251"/>
        <v>NaN</v>
      </c>
    </row>
    <row r="198" spans="1:41" x14ac:dyDescent="0.2">
      <c r="A198" s="3" t="s">
        <v>296</v>
      </c>
      <c r="B198" s="3" t="s">
        <v>296</v>
      </c>
      <c r="C198" s="52">
        <v>2067</v>
      </c>
      <c r="D198" s="105">
        <v>60.633299999999998</v>
      </c>
      <c r="E198" s="105">
        <v>17.966699999999999</v>
      </c>
      <c r="F198" s="20">
        <v>8195</v>
      </c>
      <c r="G198" s="18">
        <v>0</v>
      </c>
      <c r="H198" s="53">
        <v>9</v>
      </c>
      <c r="I198" s="167">
        <f t="shared" si="312"/>
        <v>-0.52300000000000002</v>
      </c>
      <c r="J198" s="104">
        <f t="shared" si="312"/>
        <v>0.78800000000000003</v>
      </c>
      <c r="K198" s="104">
        <f t="shared" si="312"/>
        <v>5.6000000000000001E-2</v>
      </c>
      <c r="L198" s="105">
        <f t="shared" si="314"/>
        <v>0.14630000000000001</v>
      </c>
      <c r="M198" s="105">
        <f t="shared" si="314"/>
        <v>2.75E-2</v>
      </c>
      <c r="N198" s="105">
        <f t="shared" si="314"/>
        <v>2.9000000000000001E-2</v>
      </c>
      <c r="O198" s="20">
        <f t="shared" ref="O198:P198" si="333">ROUND(O210,0)</f>
        <v>180</v>
      </c>
      <c r="P198" s="20">
        <f t="shared" si="333"/>
        <v>60</v>
      </c>
      <c r="Q198" s="104">
        <f t="shared" si="316"/>
        <v>1E-3</v>
      </c>
      <c r="R198" s="20">
        <f t="shared" ref="R198:S198" si="334">ROUND(R210,0)</f>
        <v>3</v>
      </c>
      <c r="S198" s="20">
        <f t="shared" si="334"/>
        <v>1500</v>
      </c>
      <c r="T198" s="104">
        <f t="shared" si="318"/>
        <v>0.1</v>
      </c>
      <c r="U198" s="123" t="s">
        <v>282</v>
      </c>
      <c r="V198" s="21"/>
      <c r="W198" s="58">
        <f t="shared" si="281"/>
        <v>2067</v>
      </c>
      <c r="X198" s="102">
        <f t="shared" si="282"/>
        <v>60.633299999999998</v>
      </c>
      <c r="Y198" s="102">
        <f t="shared" si="283"/>
        <v>17.966699999999999</v>
      </c>
      <c r="Z198" s="21">
        <f t="shared" si="284"/>
        <v>8195</v>
      </c>
      <c r="AA198" s="44">
        <f t="shared" si="285"/>
        <v>0</v>
      </c>
      <c r="AB198" s="21">
        <f t="shared" si="286"/>
        <v>9</v>
      </c>
      <c r="AC198" s="121">
        <f>ROUND(I198+mwreg!$G$24/100,3)</f>
        <v>-0.46700000000000003</v>
      </c>
      <c r="AD198" s="101">
        <f>ROUND(J198+mwreg!$G$24/100,3)</f>
        <v>0.84399999999999997</v>
      </c>
      <c r="AE198" s="101">
        <f>ROUND(K198+mwreg!$G$24/100,3)</f>
        <v>0.112</v>
      </c>
      <c r="AF198" s="102">
        <f t="shared" si="319"/>
        <v>0.14630000000000001</v>
      </c>
      <c r="AG198" s="102">
        <f t="shared" si="320"/>
        <v>2.75E-2</v>
      </c>
      <c r="AH198" s="102">
        <f t="shared" si="238"/>
        <v>2.9000000000000001E-2</v>
      </c>
      <c r="AI198" s="21">
        <f t="shared" si="239"/>
        <v>180</v>
      </c>
      <c r="AJ198" s="21">
        <f t="shared" si="240"/>
        <v>60</v>
      </c>
      <c r="AK198" s="101">
        <f t="shared" si="241"/>
        <v>1E-3</v>
      </c>
      <c r="AL198" s="21">
        <f t="shared" si="242"/>
        <v>3</v>
      </c>
      <c r="AM198" s="21">
        <f t="shared" si="243"/>
        <v>1500</v>
      </c>
      <c r="AN198" s="101">
        <f t="shared" si="244"/>
        <v>0.1</v>
      </c>
      <c r="AO198" s="185" t="str">
        <f t="shared" si="251"/>
        <v>NaN</v>
      </c>
    </row>
    <row r="199" spans="1:41" x14ac:dyDescent="0.2">
      <c r="A199" s="3" t="s">
        <v>296</v>
      </c>
      <c r="B199" s="3" t="s">
        <v>296</v>
      </c>
      <c r="C199" s="52">
        <v>2067</v>
      </c>
      <c r="D199" s="105">
        <v>60.633299999999998</v>
      </c>
      <c r="E199" s="105">
        <v>17.966699999999999</v>
      </c>
      <c r="F199" s="20">
        <v>8195</v>
      </c>
      <c r="G199" s="18">
        <v>0</v>
      </c>
      <c r="H199" s="53">
        <v>10</v>
      </c>
      <c r="I199" s="167">
        <f t="shared" si="312"/>
        <v>-0.6</v>
      </c>
      <c r="J199" s="104">
        <f t="shared" si="312"/>
        <v>0.89100000000000001</v>
      </c>
      <c r="K199" s="104">
        <f t="shared" si="312"/>
        <v>3.5000000000000003E-2</v>
      </c>
      <c r="L199" s="105">
        <f t="shared" si="314"/>
        <v>0.18559999999999999</v>
      </c>
      <c r="M199" s="105">
        <f t="shared" si="314"/>
        <v>2.3300000000000001E-2</v>
      </c>
      <c r="N199" s="105">
        <f t="shared" si="314"/>
        <v>2.5000000000000001E-2</v>
      </c>
      <c r="O199" s="20">
        <f t="shared" ref="O199:P199" si="335">ROUND(O211,0)</f>
        <v>180</v>
      </c>
      <c r="P199" s="20">
        <f t="shared" si="335"/>
        <v>60</v>
      </c>
      <c r="Q199" s="104">
        <f t="shared" si="316"/>
        <v>1E-3</v>
      </c>
      <c r="R199" s="20">
        <f t="shared" ref="R199:S199" si="336">ROUND(R211,0)</f>
        <v>3</v>
      </c>
      <c r="S199" s="20">
        <f t="shared" si="336"/>
        <v>1500</v>
      </c>
      <c r="T199" s="104">
        <f t="shared" si="318"/>
        <v>0.1</v>
      </c>
      <c r="U199" s="123" t="s">
        <v>282</v>
      </c>
      <c r="V199" s="21"/>
      <c r="W199" s="58">
        <f t="shared" si="281"/>
        <v>2067</v>
      </c>
      <c r="X199" s="102">
        <f t="shared" si="282"/>
        <v>60.633299999999998</v>
      </c>
      <c r="Y199" s="102">
        <f t="shared" si="283"/>
        <v>17.966699999999999</v>
      </c>
      <c r="Z199" s="21">
        <f t="shared" si="284"/>
        <v>8195</v>
      </c>
      <c r="AA199" s="44">
        <f t="shared" si="285"/>
        <v>0</v>
      </c>
      <c r="AB199" s="21">
        <f t="shared" si="286"/>
        <v>10</v>
      </c>
      <c r="AC199" s="121">
        <f>ROUND(I199+mwreg!$G$24/100,3)</f>
        <v>-0.54400000000000004</v>
      </c>
      <c r="AD199" s="101">
        <f>ROUND(J199+mwreg!$G$24/100,3)</f>
        <v>0.94699999999999995</v>
      </c>
      <c r="AE199" s="101">
        <f>ROUND(K199+mwreg!$G$24/100,3)</f>
        <v>9.0999999999999998E-2</v>
      </c>
      <c r="AF199" s="102">
        <f t="shared" si="319"/>
        <v>0.18559999999999999</v>
      </c>
      <c r="AG199" s="102">
        <f t="shared" si="320"/>
        <v>2.3300000000000001E-2</v>
      </c>
      <c r="AH199" s="102">
        <f t="shared" si="238"/>
        <v>2.5000000000000001E-2</v>
      </c>
      <c r="AI199" s="21">
        <f t="shared" si="239"/>
        <v>180</v>
      </c>
      <c r="AJ199" s="21">
        <f t="shared" si="240"/>
        <v>60</v>
      </c>
      <c r="AK199" s="101">
        <f t="shared" si="241"/>
        <v>1E-3</v>
      </c>
      <c r="AL199" s="21">
        <f t="shared" si="242"/>
        <v>3</v>
      </c>
      <c r="AM199" s="21">
        <f t="shared" si="243"/>
        <v>1500</v>
      </c>
      <c r="AN199" s="101">
        <f t="shared" si="244"/>
        <v>0.1</v>
      </c>
      <c r="AO199" s="185" t="str">
        <f t="shared" si="251"/>
        <v>NaN</v>
      </c>
    </row>
    <row r="200" spans="1:41" x14ac:dyDescent="0.2">
      <c r="A200" s="3" t="s">
        <v>296</v>
      </c>
      <c r="B200" s="3" t="s">
        <v>296</v>
      </c>
      <c r="C200" s="52">
        <v>2067</v>
      </c>
      <c r="D200" s="105">
        <v>60.633299999999998</v>
      </c>
      <c r="E200" s="105">
        <v>17.966699999999999</v>
      </c>
      <c r="F200" s="20">
        <v>8195</v>
      </c>
      <c r="G200" s="18">
        <v>0</v>
      </c>
      <c r="H200" s="53">
        <v>11</v>
      </c>
      <c r="I200" s="167">
        <f t="shared" si="312"/>
        <v>-0.79</v>
      </c>
      <c r="J200" s="104">
        <f t="shared" si="312"/>
        <v>1.0609999999999999</v>
      </c>
      <c r="K200" s="104">
        <f t="shared" si="312"/>
        <v>4.1000000000000002E-2</v>
      </c>
      <c r="L200" s="105">
        <f t="shared" si="314"/>
        <v>0.2102</v>
      </c>
      <c r="M200" s="105">
        <f t="shared" si="314"/>
        <v>2.8000000000000001E-2</v>
      </c>
      <c r="N200" s="105">
        <f t="shared" si="314"/>
        <v>0.03</v>
      </c>
      <c r="O200" s="20">
        <f t="shared" ref="O200:P200" si="337">ROUND(O212,0)</f>
        <v>180</v>
      </c>
      <c r="P200" s="20">
        <f t="shared" si="337"/>
        <v>60</v>
      </c>
      <c r="Q200" s="104">
        <f t="shared" si="316"/>
        <v>1E-3</v>
      </c>
      <c r="R200" s="20">
        <f t="shared" ref="R200:S200" si="338">ROUND(R212,0)</f>
        <v>3</v>
      </c>
      <c r="S200" s="20">
        <f t="shared" si="338"/>
        <v>1500</v>
      </c>
      <c r="T200" s="104">
        <f t="shared" si="318"/>
        <v>0.1</v>
      </c>
      <c r="U200" s="123" t="s">
        <v>282</v>
      </c>
      <c r="V200" s="21"/>
      <c r="W200" s="58">
        <f t="shared" si="281"/>
        <v>2067</v>
      </c>
      <c r="X200" s="102">
        <f t="shared" si="282"/>
        <v>60.633299999999998</v>
      </c>
      <c r="Y200" s="102">
        <f t="shared" si="283"/>
        <v>17.966699999999999</v>
      </c>
      <c r="Z200" s="21">
        <f t="shared" si="284"/>
        <v>8195</v>
      </c>
      <c r="AA200" s="44">
        <f t="shared" si="285"/>
        <v>0</v>
      </c>
      <c r="AB200" s="21">
        <f t="shared" si="286"/>
        <v>11</v>
      </c>
      <c r="AC200" s="121">
        <f>ROUND(I200+mwreg!$G$24/100,3)</f>
        <v>-0.73399999999999999</v>
      </c>
      <c r="AD200" s="101">
        <f>ROUND(J200+mwreg!$G$24/100,3)</f>
        <v>1.117</v>
      </c>
      <c r="AE200" s="101">
        <f>ROUND(K200+mwreg!$G$24/100,3)</f>
        <v>9.7000000000000003E-2</v>
      </c>
      <c r="AF200" s="102">
        <f t="shared" si="319"/>
        <v>0.2102</v>
      </c>
      <c r="AG200" s="102">
        <f t="shared" si="320"/>
        <v>2.8000000000000001E-2</v>
      </c>
      <c r="AH200" s="102">
        <f t="shared" si="238"/>
        <v>0.03</v>
      </c>
      <c r="AI200" s="21">
        <f t="shared" si="239"/>
        <v>180</v>
      </c>
      <c r="AJ200" s="21">
        <f t="shared" si="240"/>
        <v>60</v>
      </c>
      <c r="AK200" s="101">
        <f t="shared" si="241"/>
        <v>1E-3</v>
      </c>
      <c r="AL200" s="21">
        <f t="shared" si="242"/>
        <v>3</v>
      </c>
      <c r="AM200" s="21">
        <f t="shared" si="243"/>
        <v>1500</v>
      </c>
      <c r="AN200" s="101">
        <f t="shared" si="244"/>
        <v>0.1</v>
      </c>
      <c r="AO200" s="185" t="str">
        <f t="shared" si="251"/>
        <v>NaN</v>
      </c>
    </row>
    <row r="201" spans="1:41" x14ac:dyDescent="0.2">
      <c r="A201" s="3" t="s">
        <v>296</v>
      </c>
      <c r="B201" s="3" t="s">
        <v>296</v>
      </c>
      <c r="C201" s="52">
        <v>2067</v>
      </c>
      <c r="D201" s="105">
        <v>60.633299999999998</v>
      </c>
      <c r="E201" s="105">
        <v>17.966699999999999</v>
      </c>
      <c r="F201" s="20">
        <v>8195</v>
      </c>
      <c r="G201" s="18">
        <v>0</v>
      </c>
      <c r="H201" s="53">
        <v>12</v>
      </c>
      <c r="I201" s="167">
        <f t="shared" si="312"/>
        <v>-0.71499999999999997</v>
      </c>
      <c r="J201" s="104">
        <f t="shared" si="312"/>
        <v>1.37</v>
      </c>
      <c r="K201" s="104">
        <f t="shared" si="312"/>
        <v>0.113</v>
      </c>
      <c r="L201" s="105">
        <f t="shared" si="314"/>
        <v>0.2268</v>
      </c>
      <c r="M201" s="105">
        <f t="shared" si="314"/>
        <v>6.0699999999999997E-2</v>
      </c>
      <c r="N201" s="105">
        <f t="shared" si="314"/>
        <v>6.2700000000000006E-2</v>
      </c>
      <c r="O201" s="20">
        <f t="shared" ref="O201:P201" si="339">ROUND(O213,0)</f>
        <v>180</v>
      </c>
      <c r="P201" s="20">
        <f t="shared" si="339"/>
        <v>60</v>
      </c>
      <c r="Q201" s="104">
        <f t="shared" si="316"/>
        <v>1E-3</v>
      </c>
      <c r="R201" s="20">
        <f t="shared" ref="R201:S201" si="340">ROUND(R213,0)</f>
        <v>3</v>
      </c>
      <c r="S201" s="20">
        <f t="shared" si="340"/>
        <v>1500</v>
      </c>
      <c r="T201" s="104">
        <f t="shared" si="318"/>
        <v>0.1</v>
      </c>
      <c r="U201" s="123" t="s">
        <v>282</v>
      </c>
      <c r="V201" s="21"/>
      <c r="W201" s="58">
        <f t="shared" si="281"/>
        <v>2067</v>
      </c>
      <c r="X201" s="102">
        <f t="shared" si="282"/>
        <v>60.633299999999998</v>
      </c>
      <c r="Y201" s="102">
        <f t="shared" si="283"/>
        <v>17.966699999999999</v>
      </c>
      <c r="Z201" s="21">
        <f t="shared" si="284"/>
        <v>8195</v>
      </c>
      <c r="AA201" s="44">
        <f t="shared" si="285"/>
        <v>0</v>
      </c>
      <c r="AB201" s="21">
        <f t="shared" si="286"/>
        <v>12</v>
      </c>
      <c r="AC201" s="121">
        <f>ROUND(I201+mwreg!$G$24/100,3)</f>
        <v>-0.65900000000000003</v>
      </c>
      <c r="AD201" s="101">
        <f>ROUND(J201+mwreg!$G$24/100,3)</f>
        <v>1.4259999999999999</v>
      </c>
      <c r="AE201" s="101">
        <f>ROUND(K201+mwreg!$G$24/100,3)</f>
        <v>0.16900000000000001</v>
      </c>
      <c r="AF201" s="102">
        <f t="shared" si="319"/>
        <v>0.2268</v>
      </c>
      <c r="AG201" s="102">
        <f t="shared" si="320"/>
        <v>6.0699999999999997E-2</v>
      </c>
      <c r="AH201" s="102">
        <f t="shared" si="238"/>
        <v>6.2700000000000006E-2</v>
      </c>
      <c r="AI201" s="21">
        <f t="shared" si="239"/>
        <v>180</v>
      </c>
      <c r="AJ201" s="21">
        <f t="shared" si="240"/>
        <v>60</v>
      </c>
      <c r="AK201" s="101">
        <f t="shared" si="241"/>
        <v>1E-3</v>
      </c>
      <c r="AL201" s="21">
        <f t="shared" si="242"/>
        <v>3</v>
      </c>
      <c r="AM201" s="21">
        <f t="shared" si="243"/>
        <v>1500</v>
      </c>
      <c r="AN201" s="101">
        <f t="shared" si="244"/>
        <v>0.1</v>
      </c>
      <c r="AO201" s="185" t="str">
        <f t="shared" si="251"/>
        <v>NaN</v>
      </c>
    </row>
    <row r="202" spans="1:41" x14ac:dyDescent="0.2">
      <c r="A202" s="3" t="str">
        <f>stat_uppg!A25</f>
        <v>2179/33056</v>
      </c>
      <c r="B202" s="3" t="str">
        <f>stat_uppg!B25</f>
        <v>FORSMARK (SMHI)</v>
      </c>
      <c r="C202" s="55">
        <v>2179</v>
      </c>
      <c r="D202" s="79">
        <v>60.4086</v>
      </c>
      <c r="E202" s="79">
        <v>18.210799999999999</v>
      </c>
      <c r="F202" s="14">
        <v>8195</v>
      </c>
      <c r="G202" s="10">
        <v>0</v>
      </c>
      <c r="H202" s="122">
        <v>1</v>
      </c>
      <c r="I202" s="120">
        <v>-0.71499999999999997</v>
      </c>
      <c r="J202" s="106">
        <v>1.431</v>
      </c>
      <c r="K202" s="106">
        <v>0.14000000000000001</v>
      </c>
      <c r="L202" s="100">
        <v>0.27250000000000002</v>
      </c>
      <c r="M202" s="79">
        <v>2.2200000000000001E-2</v>
      </c>
      <c r="N202" s="79">
        <v>2.4E-2</v>
      </c>
      <c r="O202" s="14">
        <v>180</v>
      </c>
      <c r="P202" s="14">
        <v>60</v>
      </c>
      <c r="Q202" s="11">
        <v>1E-3</v>
      </c>
      <c r="R202" s="14">
        <v>3</v>
      </c>
      <c r="S202" s="14">
        <v>1500</v>
      </c>
      <c r="T202" s="11">
        <v>0.1</v>
      </c>
      <c r="U202" s="122">
        <v>209724</v>
      </c>
      <c r="V202" s="35"/>
      <c r="W202" s="99">
        <f t="shared" si="281"/>
        <v>2179</v>
      </c>
      <c r="X202" s="100">
        <f t="shared" si="282"/>
        <v>60.4086</v>
      </c>
      <c r="Y202" s="100">
        <f t="shared" si="283"/>
        <v>18.210799999999999</v>
      </c>
      <c r="Z202" s="22">
        <f t="shared" si="284"/>
        <v>8195</v>
      </c>
      <c r="AA202" s="35">
        <f t="shared" si="285"/>
        <v>0</v>
      </c>
      <c r="AB202" s="22">
        <f t="shared" si="286"/>
        <v>1</v>
      </c>
      <c r="AC202" s="120">
        <f>ROUND(I202+mwreg!$G$25/100,3)</f>
        <v>-0.65200000000000002</v>
      </c>
      <c r="AD202" s="106">
        <f>ROUND(J202+mwreg!$G$25/100,3)</f>
        <v>1.494</v>
      </c>
      <c r="AE202" s="106">
        <f>ROUND(K202+mwreg!$G$25/100,3)</f>
        <v>0.20300000000000001</v>
      </c>
      <c r="AF202" s="100">
        <f t="shared" si="319"/>
        <v>0.27250000000000002</v>
      </c>
      <c r="AG202" s="100">
        <f t="shared" si="320"/>
        <v>2.2200000000000001E-2</v>
      </c>
      <c r="AH202" s="100">
        <f t="shared" si="238"/>
        <v>2.4E-2</v>
      </c>
      <c r="AI202" s="22">
        <f t="shared" si="239"/>
        <v>180</v>
      </c>
      <c r="AJ202" s="22">
        <f t="shared" si="240"/>
        <v>60</v>
      </c>
      <c r="AK202" s="106">
        <f t="shared" si="241"/>
        <v>1E-3</v>
      </c>
      <c r="AL202" s="22">
        <f t="shared" si="242"/>
        <v>3</v>
      </c>
      <c r="AM202" s="22">
        <f t="shared" si="243"/>
        <v>1500</v>
      </c>
      <c r="AN202" s="106">
        <f t="shared" si="244"/>
        <v>0.1</v>
      </c>
      <c r="AO202" s="184">
        <f t="shared" si="251"/>
        <v>209724</v>
      </c>
    </row>
    <row r="203" spans="1:41" x14ac:dyDescent="0.2">
      <c r="A203" s="3" t="s">
        <v>296</v>
      </c>
      <c r="B203" s="3" t="s">
        <v>296</v>
      </c>
      <c r="C203" s="55">
        <v>2179</v>
      </c>
      <c r="D203" s="79">
        <v>60.4086</v>
      </c>
      <c r="E203" s="79">
        <v>18.210799999999999</v>
      </c>
      <c r="F203" s="14">
        <v>8195</v>
      </c>
      <c r="G203" s="10">
        <v>0</v>
      </c>
      <c r="H203" s="122">
        <v>2</v>
      </c>
      <c r="I203" s="120">
        <v>-0.70699999999999996</v>
      </c>
      <c r="J203" s="106">
        <v>1.202</v>
      </c>
      <c r="K203" s="106">
        <v>7.4999999999999997E-2</v>
      </c>
      <c r="L203" s="100">
        <v>0.2954</v>
      </c>
      <c r="M203" s="79">
        <v>2.8199999999999999E-2</v>
      </c>
      <c r="N203" s="79">
        <v>0.03</v>
      </c>
      <c r="O203" s="14">
        <v>180</v>
      </c>
      <c r="P203" s="14">
        <v>60</v>
      </c>
      <c r="Q203" s="11">
        <v>1E-3</v>
      </c>
      <c r="R203" s="14">
        <v>3</v>
      </c>
      <c r="S203" s="14">
        <v>1500</v>
      </c>
      <c r="T203" s="11">
        <v>0.1</v>
      </c>
      <c r="U203" s="122">
        <v>217532</v>
      </c>
      <c r="V203" s="35"/>
      <c r="W203" s="99">
        <f t="shared" si="281"/>
        <v>2179</v>
      </c>
      <c r="X203" s="100">
        <f t="shared" si="282"/>
        <v>60.4086</v>
      </c>
      <c r="Y203" s="100">
        <f t="shared" si="283"/>
        <v>18.210799999999999</v>
      </c>
      <c r="Z203" s="22">
        <f t="shared" si="284"/>
        <v>8195</v>
      </c>
      <c r="AA203" s="35">
        <f t="shared" si="285"/>
        <v>0</v>
      </c>
      <c r="AB203" s="22">
        <f t="shared" si="286"/>
        <v>2</v>
      </c>
      <c r="AC203" s="120">
        <f>ROUND(I203+mwreg!$G$25/100,3)</f>
        <v>-0.64400000000000002</v>
      </c>
      <c r="AD203" s="106">
        <f>ROUND(J203+mwreg!$G$25/100,3)</f>
        <v>1.2649999999999999</v>
      </c>
      <c r="AE203" s="106">
        <f>ROUND(K203+mwreg!$G$25/100,3)</f>
        <v>0.13800000000000001</v>
      </c>
      <c r="AF203" s="100">
        <f t="shared" si="319"/>
        <v>0.2954</v>
      </c>
      <c r="AG203" s="100">
        <f t="shared" si="320"/>
        <v>2.8199999999999999E-2</v>
      </c>
      <c r="AH203" s="100">
        <f t="shared" si="238"/>
        <v>0.03</v>
      </c>
      <c r="AI203" s="22">
        <f t="shared" si="239"/>
        <v>180</v>
      </c>
      <c r="AJ203" s="22">
        <f t="shared" si="240"/>
        <v>60</v>
      </c>
      <c r="AK203" s="106">
        <f t="shared" si="241"/>
        <v>1E-3</v>
      </c>
      <c r="AL203" s="22">
        <f t="shared" si="242"/>
        <v>3</v>
      </c>
      <c r="AM203" s="22">
        <f t="shared" si="243"/>
        <v>1500</v>
      </c>
      <c r="AN203" s="106">
        <f t="shared" si="244"/>
        <v>0.1</v>
      </c>
      <c r="AO203" s="184">
        <f t="shared" si="251"/>
        <v>217532</v>
      </c>
    </row>
    <row r="204" spans="1:41" x14ac:dyDescent="0.2">
      <c r="A204" s="3" t="s">
        <v>296</v>
      </c>
      <c r="B204" s="3" t="s">
        <v>296</v>
      </c>
      <c r="C204" s="55">
        <v>2179</v>
      </c>
      <c r="D204" s="79">
        <v>60.4086</v>
      </c>
      <c r="E204" s="79">
        <v>18.210799999999999</v>
      </c>
      <c r="F204" s="14">
        <v>8195</v>
      </c>
      <c r="G204" s="10">
        <v>0</v>
      </c>
      <c r="H204" s="122">
        <v>3</v>
      </c>
      <c r="I204" s="120">
        <v>-0.68200000000000005</v>
      </c>
      <c r="J204" s="106">
        <v>1.121</v>
      </c>
      <c r="K204" s="106">
        <v>-0.01</v>
      </c>
      <c r="L204" s="100">
        <v>0.24890000000000001</v>
      </c>
      <c r="M204" s="79">
        <v>7.3200000000000001E-2</v>
      </c>
      <c r="N204" s="79">
        <v>7.4999999999999997E-2</v>
      </c>
      <c r="O204" s="14">
        <v>180</v>
      </c>
      <c r="P204" s="14">
        <v>60</v>
      </c>
      <c r="Q204" s="11">
        <v>1E-3</v>
      </c>
      <c r="R204" s="14">
        <v>3</v>
      </c>
      <c r="S204" s="14">
        <v>1500</v>
      </c>
      <c r="T204" s="11">
        <v>0.1</v>
      </c>
      <c r="U204" s="122">
        <v>257782</v>
      </c>
      <c r="V204" s="35"/>
      <c r="W204" s="99">
        <f t="shared" si="281"/>
        <v>2179</v>
      </c>
      <c r="X204" s="100">
        <f t="shared" si="282"/>
        <v>60.4086</v>
      </c>
      <c r="Y204" s="100">
        <f t="shared" si="283"/>
        <v>18.210799999999999</v>
      </c>
      <c r="Z204" s="22">
        <f t="shared" si="284"/>
        <v>8195</v>
      </c>
      <c r="AA204" s="35">
        <f t="shared" si="285"/>
        <v>0</v>
      </c>
      <c r="AB204" s="22">
        <f t="shared" si="286"/>
        <v>3</v>
      </c>
      <c r="AC204" s="120">
        <f>ROUND(I204+mwreg!$G$25/100,3)</f>
        <v>-0.61899999999999999</v>
      </c>
      <c r="AD204" s="106">
        <f>ROUND(J204+mwreg!$G$25/100,3)</f>
        <v>1.1839999999999999</v>
      </c>
      <c r="AE204" s="106">
        <f>ROUND(K204+mwreg!$G$25/100,3)</f>
        <v>5.2999999999999999E-2</v>
      </c>
      <c r="AF204" s="100">
        <f t="shared" si="319"/>
        <v>0.24890000000000001</v>
      </c>
      <c r="AG204" s="100">
        <f t="shared" si="320"/>
        <v>7.3200000000000001E-2</v>
      </c>
      <c r="AH204" s="100">
        <f t="shared" si="238"/>
        <v>7.4999999999999997E-2</v>
      </c>
      <c r="AI204" s="22">
        <f t="shared" si="239"/>
        <v>180</v>
      </c>
      <c r="AJ204" s="22">
        <f t="shared" si="240"/>
        <v>60</v>
      </c>
      <c r="AK204" s="106">
        <f t="shared" si="241"/>
        <v>1E-3</v>
      </c>
      <c r="AL204" s="22">
        <f t="shared" si="242"/>
        <v>3</v>
      </c>
      <c r="AM204" s="22">
        <f t="shared" si="243"/>
        <v>1500</v>
      </c>
      <c r="AN204" s="106">
        <f t="shared" si="244"/>
        <v>0.1</v>
      </c>
      <c r="AO204" s="184">
        <f t="shared" si="251"/>
        <v>257782</v>
      </c>
    </row>
    <row r="205" spans="1:41" x14ac:dyDescent="0.2">
      <c r="A205" s="3" t="s">
        <v>296</v>
      </c>
      <c r="B205" s="3" t="s">
        <v>296</v>
      </c>
      <c r="C205" s="55">
        <v>2179</v>
      </c>
      <c r="D205" s="79">
        <v>60.4086</v>
      </c>
      <c r="E205" s="79">
        <v>18.210799999999999</v>
      </c>
      <c r="F205" s="14">
        <v>8195</v>
      </c>
      <c r="G205" s="10">
        <v>0</v>
      </c>
      <c r="H205" s="122">
        <v>4</v>
      </c>
      <c r="I205" s="120">
        <v>-0.78400000000000003</v>
      </c>
      <c r="J205" s="106">
        <v>1.0589999999999999</v>
      </c>
      <c r="K205" s="106">
        <v>-0.11</v>
      </c>
      <c r="L205" s="100">
        <v>0.1704</v>
      </c>
      <c r="M205" s="79">
        <v>3.4500000000000003E-2</v>
      </c>
      <c r="N205" s="79">
        <v>3.5999999999999997E-2</v>
      </c>
      <c r="O205" s="14">
        <v>180</v>
      </c>
      <c r="P205" s="14">
        <v>60</v>
      </c>
      <c r="Q205" s="11">
        <v>1E-3</v>
      </c>
      <c r="R205" s="14">
        <v>3</v>
      </c>
      <c r="S205" s="14">
        <v>1500</v>
      </c>
      <c r="T205" s="11">
        <v>0.1</v>
      </c>
      <c r="U205" s="122">
        <v>249989</v>
      </c>
      <c r="V205" s="35"/>
      <c r="W205" s="99">
        <f t="shared" si="281"/>
        <v>2179</v>
      </c>
      <c r="X205" s="100">
        <f t="shared" si="282"/>
        <v>60.4086</v>
      </c>
      <c r="Y205" s="100">
        <f t="shared" si="283"/>
        <v>18.210799999999999</v>
      </c>
      <c r="Z205" s="22">
        <f t="shared" si="284"/>
        <v>8195</v>
      </c>
      <c r="AA205" s="35">
        <f t="shared" si="285"/>
        <v>0</v>
      </c>
      <c r="AB205" s="22">
        <f t="shared" si="286"/>
        <v>4</v>
      </c>
      <c r="AC205" s="120">
        <f>ROUND(I205+mwreg!$G$25/100,3)</f>
        <v>-0.72099999999999997</v>
      </c>
      <c r="AD205" s="106">
        <f>ROUND(J205+mwreg!$G$25/100,3)</f>
        <v>1.1220000000000001</v>
      </c>
      <c r="AE205" s="106">
        <f>ROUND(K205+mwreg!$G$25/100,3)</f>
        <v>-4.7E-2</v>
      </c>
      <c r="AF205" s="100">
        <f t="shared" si="319"/>
        <v>0.1704</v>
      </c>
      <c r="AG205" s="100">
        <f t="shared" si="320"/>
        <v>3.4500000000000003E-2</v>
      </c>
      <c r="AH205" s="100">
        <f t="shared" si="238"/>
        <v>3.5999999999999997E-2</v>
      </c>
      <c r="AI205" s="22">
        <f t="shared" si="239"/>
        <v>180</v>
      </c>
      <c r="AJ205" s="22">
        <f t="shared" si="240"/>
        <v>60</v>
      </c>
      <c r="AK205" s="106">
        <f t="shared" si="241"/>
        <v>1E-3</v>
      </c>
      <c r="AL205" s="22">
        <f t="shared" si="242"/>
        <v>3</v>
      </c>
      <c r="AM205" s="22">
        <f t="shared" si="243"/>
        <v>1500</v>
      </c>
      <c r="AN205" s="106">
        <f t="shared" si="244"/>
        <v>0.1</v>
      </c>
      <c r="AO205" s="184">
        <f t="shared" si="251"/>
        <v>249989</v>
      </c>
    </row>
    <row r="206" spans="1:41" x14ac:dyDescent="0.2">
      <c r="A206" s="3" t="s">
        <v>296</v>
      </c>
      <c r="B206" s="3" t="s">
        <v>296</v>
      </c>
      <c r="C206" s="55">
        <v>2179</v>
      </c>
      <c r="D206" s="79">
        <v>60.4086</v>
      </c>
      <c r="E206" s="79">
        <v>18.210799999999999</v>
      </c>
      <c r="F206" s="14">
        <v>8195</v>
      </c>
      <c r="G206" s="10">
        <v>0</v>
      </c>
      <c r="H206" s="122">
        <v>5</v>
      </c>
      <c r="I206" s="120">
        <v>-0.71</v>
      </c>
      <c r="J206" s="106">
        <v>0.502</v>
      </c>
      <c r="K206" s="106">
        <v>-9.8000000000000004E-2</v>
      </c>
      <c r="L206" s="100">
        <v>0.13830000000000001</v>
      </c>
      <c r="M206" s="79">
        <v>3.4599999999999999E-2</v>
      </c>
      <c r="N206" s="79">
        <v>3.5999999999999997E-2</v>
      </c>
      <c r="O206" s="14">
        <v>180</v>
      </c>
      <c r="P206" s="14">
        <v>60</v>
      </c>
      <c r="Q206" s="11">
        <v>1E-3</v>
      </c>
      <c r="R206" s="14">
        <v>3</v>
      </c>
      <c r="S206" s="14">
        <v>1500</v>
      </c>
      <c r="T206" s="11">
        <v>0.1</v>
      </c>
      <c r="U206" s="122">
        <v>256707</v>
      </c>
      <c r="V206" s="35"/>
      <c r="W206" s="99">
        <f t="shared" si="281"/>
        <v>2179</v>
      </c>
      <c r="X206" s="100">
        <f t="shared" si="282"/>
        <v>60.4086</v>
      </c>
      <c r="Y206" s="100">
        <f t="shared" si="283"/>
        <v>18.210799999999999</v>
      </c>
      <c r="Z206" s="22">
        <f t="shared" si="284"/>
        <v>8195</v>
      </c>
      <c r="AA206" s="35">
        <f t="shared" si="285"/>
        <v>0</v>
      </c>
      <c r="AB206" s="22">
        <f t="shared" si="286"/>
        <v>5</v>
      </c>
      <c r="AC206" s="120">
        <f>ROUND(I206+mwreg!$G$25/100,3)</f>
        <v>-0.64700000000000002</v>
      </c>
      <c r="AD206" s="106">
        <f>ROUND(J206+mwreg!$G$25/100,3)</f>
        <v>0.56499999999999995</v>
      </c>
      <c r="AE206" s="106">
        <f>ROUND(K206+mwreg!$G$25/100,3)</f>
        <v>-3.5000000000000003E-2</v>
      </c>
      <c r="AF206" s="100">
        <f t="shared" si="319"/>
        <v>0.13830000000000001</v>
      </c>
      <c r="AG206" s="100">
        <f t="shared" si="320"/>
        <v>3.4599999999999999E-2</v>
      </c>
      <c r="AH206" s="100">
        <f t="shared" si="238"/>
        <v>3.5999999999999997E-2</v>
      </c>
      <c r="AI206" s="22">
        <f t="shared" si="239"/>
        <v>180</v>
      </c>
      <c r="AJ206" s="22">
        <f t="shared" si="240"/>
        <v>60</v>
      </c>
      <c r="AK206" s="106">
        <f t="shared" si="241"/>
        <v>1E-3</v>
      </c>
      <c r="AL206" s="22">
        <f t="shared" si="242"/>
        <v>3</v>
      </c>
      <c r="AM206" s="22">
        <f t="shared" si="243"/>
        <v>1500</v>
      </c>
      <c r="AN206" s="106">
        <f t="shared" si="244"/>
        <v>0.1</v>
      </c>
      <c r="AO206" s="184">
        <f t="shared" si="251"/>
        <v>256707</v>
      </c>
    </row>
    <row r="207" spans="1:41" x14ac:dyDescent="0.2">
      <c r="A207" s="3" t="s">
        <v>296</v>
      </c>
      <c r="B207" s="3" t="s">
        <v>296</v>
      </c>
      <c r="C207" s="55">
        <v>2179</v>
      </c>
      <c r="D207" s="79">
        <v>60.4086</v>
      </c>
      <c r="E207" s="79">
        <v>18.210799999999999</v>
      </c>
      <c r="F207" s="14">
        <v>8195</v>
      </c>
      <c r="G207" s="10">
        <v>0</v>
      </c>
      <c r="H207" s="122">
        <v>6</v>
      </c>
      <c r="I207" s="120">
        <v>-0.51600000000000001</v>
      </c>
      <c r="J207" s="106">
        <v>0.50800000000000001</v>
      </c>
      <c r="K207" s="106">
        <v>-7.0000000000000007E-2</v>
      </c>
      <c r="L207" s="100">
        <v>0.1168</v>
      </c>
      <c r="M207" s="79">
        <v>0.12239999999999999</v>
      </c>
      <c r="N207" s="79">
        <v>0.124</v>
      </c>
      <c r="O207" s="14">
        <v>180</v>
      </c>
      <c r="P207" s="14">
        <v>60</v>
      </c>
      <c r="Q207" s="11">
        <v>1E-3</v>
      </c>
      <c r="R207" s="14">
        <v>3</v>
      </c>
      <c r="S207" s="14">
        <v>1500</v>
      </c>
      <c r="T207" s="11">
        <v>0.1</v>
      </c>
      <c r="U207" s="122">
        <v>245954</v>
      </c>
      <c r="V207" s="35"/>
      <c r="W207" s="99">
        <f t="shared" si="281"/>
        <v>2179</v>
      </c>
      <c r="X207" s="100">
        <f t="shared" si="282"/>
        <v>60.4086</v>
      </c>
      <c r="Y207" s="100">
        <f t="shared" si="283"/>
        <v>18.210799999999999</v>
      </c>
      <c r="Z207" s="22">
        <f t="shared" si="284"/>
        <v>8195</v>
      </c>
      <c r="AA207" s="35">
        <f t="shared" si="285"/>
        <v>0</v>
      </c>
      <c r="AB207" s="22">
        <f t="shared" si="286"/>
        <v>6</v>
      </c>
      <c r="AC207" s="120">
        <f>ROUND(I207+mwreg!$G$25/100,3)</f>
        <v>-0.45300000000000001</v>
      </c>
      <c r="AD207" s="106">
        <f>ROUND(J207+mwreg!$G$25/100,3)</f>
        <v>0.57099999999999995</v>
      </c>
      <c r="AE207" s="106">
        <f>ROUND(K207+mwreg!$G$25/100,3)</f>
        <v>-7.0000000000000001E-3</v>
      </c>
      <c r="AF207" s="100">
        <f t="shared" si="319"/>
        <v>0.1168</v>
      </c>
      <c r="AG207" s="100">
        <f t="shared" si="320"/>
        <v>0.12239999999999999</v>
      </c>
      <c r="AH207" s="100">
        <f t="shared" si="238"/>
        <v>0.124</v>
      </c>
      <c r="AI207" s="22">
        <f t="shared" si="239"/>
        <v>180</v>
      </c>
      <c r="AJ207" s="22">
        <f t="shared" si="240"/>
        <v>60</v>
      </c>
      <c r="AK207" s="106">
        <f t="shared" si="241"/>
        <v>1E-3</v>
      </c>
      <c r="AL207" s="22">
        <f t="shared" si="242"/>
        <v>3</v>
      </c>
      <c r="AM207" s="22">
        <f t="shared" si="243"/>
        <v>1500</v>
      </c>
      <c r="AN207" s="106">
        <f t="shared" si="244"/>
        <v>0.1</v>
      </c>
      <c r="AO207" s="184">
        <f t="shared" si="251"/>
        <v>245954</v>
      </c>
    </row>
    <row r="208" spans="1:41" x14ac:dyDescent="0.2">
      <c r="A208" s="3" t="s">
        <v>296</v>
      </c>
      <c r="B208" s="3" t="s">
        <v>296</v>
      </c>
      <c r="C208" s="55">
        <v>2179</v>
      </c>
      <c r="D208" s="79">
        <v>60.4086</v>
      </c>
      <c r="E208" s="79">
        <v>18.210799999999999</v>
      </c>
      <c r="F208" s="14">
        <v>8195</v>
      </c>
      <c r="G208" s="10">
        <v>0</v>
      </c>
      <c r="H208" s="122">
        <v>7</v>
      </c>
      <c r="I208" s="120">
        <v>-0.41099999999999998</v>
      </c>
      <c r="J208" s="106">
        <v>0.495</v>
      </c>
      <c r="K208" s="106">
        <v>4.5999999999999999E-2</v>
      </c>
      <c r="L208" s="100">
        <v>0.1201</v>
      </c>
      <c r="M208" s="79">
        <v>1.67E-2</v>
      </c>
      <c r="N208" s="79">
        <v>1.7999999999999999E-2</v>
      </c>
      <c r="O208" s="14">
        <v>180</v>
      </c>
      <c r="P208" s="14">
        <v>60</v>
      </c>
      <c r="Q208" s="11">
        <v>1E-3</v>
      </c>
      <c r="R208" s="14">
        <v>3</v>
      </c>
      <c r="S208" s="14">
        <v>1500</v>
      </c>
      <c r="T208" s="11">
        <v>0.1</v>
      </c>
      <c r="U208" s="122">
        <v>255173</v>
      </c>
      <c r="V208" s="35"/>
      <c r="W208" s="99">
        <f t="shared" si="281"/>
        <v>2179</v>
      </c>
      <c r="X208" s="100">
        <f t="shared" si="282"/>
        <v>60.4086</v>
      </c>
      <c r="Y208" s="100">
        <f t="shared" si="283"/>
        <v>18.210799999999999</v>
      </c>
      <c r="Z208" s="22">
        <f t="shared" si="284"/>
        <v>8195</v>
      </c>
      <c r="AA208" s="35">
        <f t="shared" si="285"/>
        <v>0</v>
      </c>
      <c r="AB208" s="22">
        <f t="shared" si="286"/>
        <v>7</v>
      </c>
      <c r="AC208" s="120">
        <f>ROUND(I208+mwreg!$G$25/100,3)</f>
        <v>-0.34799999999999998</v>
      </c>
      <c r="AD208" s="106">
        <f>ROUND(J208+mwreg!$G$25/100,3)</f>
        <v>0.55800000000000005</v>
      </c>
      <c r="AE208" s="106">
        <f>ROUND(K208+mwreg!$G$25/100,3)</f>
        <v>0.109</v>
      </c>
      <c r="AF208" s="100">
        <f t="shared" si="319"/>
        <v>0.1201</v>
      </c>
      <c r="AG208" s="100">
        <f t="shared" si="320"/>
        <v>1.67E-2</v>
      </c>
      <c r="AH208" s="100">
        <f t="shared" si="238"/>
        <v>1.7999999999999999E-2</v>
      </c>
      <c r="AI208" s="22">
        <f t="shared" si="239"/>
        <v>180</v>
      </c>
      <c r="AJ208" s="22">
        <f t="shared" si="240"/>
        <v>60</v>
      </c>
      <c r="AK208" s="106">
        <f t="shared" si="241"/>
        <v>1E-3</v>
      </c>
      <c r="AL208" s="22">
        <f t="shared" si="242"/>
        <v>3</v>
      </c>
      <c r="AM208" s="22">
        <f t="shared" si="243"/>
        <v>1500</v>
      </c>
      <c r="AN208" s="106">
        <f t="shared" si="244"/>
        <v>0.1</v>
      </c>
      <c r="AO208" s="184">
        <f t="shared" si="251"/>
        <v>255173</v>
      </c>
    </row>
    <row r="209" spans="1:41" x14ac:dyDescent="0.2">
      <c r="A209" s="3" t="s">
        <v>296</v>
      </c>
      <c r="B209" s="3" t="s">
        <v>296</v>
      </c>
      <c r="C209" s="55">
        <v>2179</v>
      </c>
      <c r="D209" s="79">
        <v>60.4086</v>
      </c>
      <c r="E209" s="79">
        <v>18.210799999999999</v>
      </c>
      <c r="F209" s="14">
        <v>8195</v>
      </c>
      <c r="G209" s="10">
        <v>0</v>
      </c>
      <c r="H209" s="122">
        <v>8</v>
      </c>
      <c r="I209" s="120">
        <v>-0.44600000000000001</v>
      </c>
      <c r="J209" s="106">
        <v>0.623</v>
      </c>
      <c r="K209" s="106">
        <v>1.2999999999999999E-2</v>
      </c>
      <c r="L209" s="100">
        <v>0.1203</v>
      </c>
      <c r="M209" s="79">
        <v>2.3800000000000002E-2</v>
      </c>
      <c r="N209" s="79">
        <v>2.5000000000000001E-2</v>
      </c>
      <c r="O209" s="14">
        <v>180</v>
      </c>
      <c r="P209" s="14">
        <v>60</v>
      </c>
      <c r="Q209" s="11">
        <v>1E-3</v>
      </c>
      <c r="R209" s="14">
        <v>3</v>
      </c>
      <c r="S209" s="14">
        <v>1500</v>
      </c>
      <c r="T209" s="11">
        <v>0.1</v>
      </c>
      <c r="U209" s="122">
        <v>291145</v>
      </c>
      <c r="V209" s="35"/>
      <c r="W209" s="99">
        <f t="shared" si="281"/>
        <v>2179</v>
      </c>
      <c r="X209" s="100">
        <f t="shared" si="282"/>
        <v>60.4086</v>
      </c>
      <c r="Y209" s="100">
        <f t="shared" si="283"/>
        <v>18.210799999999999</v>
      </c>
      <c r="Z209" s="22">
        <f t="shared" si="284"/>
        <v>8195</v>
      </c>
      <c r="AA209" s="35">
        <f t="shared" si="285"/>
        <v>0</v>
      </c>
      <c r="AB209" s="22">
        <f t="shared" si="286"/>
        <v>8</v>
      </c>
      <c r="AC209" s="120">
        <f>ROUND(I209+mwreg!$G$25/100,3)</f>
        <v>-0.38300000000000001</v>
      </c>
      <c r="AD209" s="106">
        <f>ROUND(J209+mwreg!$G$25/100,3)</f>
        <v>0.68600000000000005</v>
      </c>
      <c r="AE209" s="106">
        <f>ROUND(K209+mwreg!$G$25/100,3)</f>
        <v>7.5999999999999998E-2</v>
      </c>
      <c r="AF209" s="100">
        <f t="shared" si="319"/>
        <v>0.1203</v>
      </c>
      <c r="AG209" s="100">
        <f t="shared" si="320"/>
        <v>2.3800000000000002E-2</v>
      </c>
      <c r="AH209" s="100">
        <f t="shared" si="238"/>
        <v>2.5000000000000001E-2</v>
      </c>
      <c r="AI209" s="22">
        <f t="shared" si="239"/>
        <v>180</v>
      </c>
      <c r="AJ209" s="22">
        <f t="shared" si="240"/>
        <v>60</v>
      </c>
      <c r="AK209" s="106">
        <f t="shared" si="241"/>
        <v>1E-3</v>
      </c>
      <c r="AL209" s="22">
        <f t="shared" si="242"/>
        <v>3</v>
      </c>
      <c r="AM209" s="22">
        <f t="shared" si="243"/>
        <v>1500</v>
      </c>
      <c r="AN209" s="106">
        <f t="shared" si="244"/>
        <v>0.1</v>
      </c>
      <c r="AO209" s="184">
        <f t="shared" si="251"/>
        <v>291145</v>
      </c>
    </row>
    <row r="210" spans="1:41" x14ac:dyDescent="0.2">
      <c r="A210" s="3" t="s">
        <v>296</v>
      </c>
      <c r="B210" s="3" t="s">
        <v>296</v>
      </c>
      <c r="C210" s="55">
        <v>2179</v>
      </c>
      <c r="D210" s="79">
        <v>60.4086</v>
      </c>
      <c r="E210" s="79">
        <v>18.210799999999999</v>
      </c>
      <c r="F210" s="14">
        <v>8195</v>
      </c>
      <c r="G210" s="10">
        <v>0</v>
      </c>
      <c r="H210" s="122">
        <v>9</v>
      </c>
      <c r="I210" s="120">
        <v>-0.52300000000000002</v>
      </c>
      <c r="J210" s="106">
        <v>0.78800000000000003</v>
      </c>
      <c r="K210" s="106">
        <v>5.6000000000000001E-2</v>
      </c>
      <c r="L210" s="100">
        <v>0.14630000000000001</v>
      </c>
      <c r="M210" s="79">
        <v>2.75E-2</v>
      </c>
      <c r="N210" s="79">
        <v>2.9000000000000001E-2</v>
      </c>
      <c r="O210" s="14">
        <v>180</v>
      </c>
      <c r="P210" s="14">
        <v>60</v>
      </c>
      <c r="Q210" s="11">
        <v>1E-3</v>
      </c>
      <c r="R210" s="14">
        <v>3</v>
      </c>
      <c r="S210" s="14">
        <v>1500</v>
      </c>
      <c r="T210" s="11">
        <v>0.1</v>
      </c>
      <c r="U210" s="122">
        <v>286898</v>
      </c>
      <c r="V210" s="35"/>
      <c r="W210" s="99">
        <f t="shared" ref="W210:W253" si="341">C210</f>
        <v>2179</v>
      </c>
      <c r="X210" s="100">
        <f t="shared" ref="X210:X253" si="342">ROUND(D210,4)</f>
        <v>60.4086</v>
      </c>
      <c r="Y210" s="100">
        <f t="shared" ref="Y210:Y253" si="343">ROUND(E210,4)</f>
        <v>18.210799999999999</v>
      </c>
      <c r="Z210" s="22">
        <f t="shared" ref="Z210:Z253" si="344">F210</f>
        <v>8195</v>
      </c>
      <c r="AA210" s="35">
        <f t="shared" ref="AA210:AA253" si="345">G210</f>
        <v>0</v>
      </c>
      <c r="AB210" s="22">
        <f t="shared" ref="AB210:AB253" si="346">H210</f>
        <v>9</v>
      </c>
      <c r="AC210" s="120">
        <f>ROUND(I210+mwreg!$G$25/100,3)</f>
        <v>-0.46</v>
      </c>
      <c r="AD210" s="106">
        <f>ROUND(J210+mwreg!$G$25/100,3)</f>
        <v>0.85099999999999998</v>
      </c>
      <c r="AE210" s="106">
        <f>ROUND(K210+mwreg!$G$25/100,3)</f>
        <v>0.11899999999999999</v>
      </c>
      <c r="AF210" s="100">
        <f t="shared" si="319"/>
        <v>0.14630000000000001</v>
      </c>
      <c r="AG210" s="100">
        <f t="shared" si="320"/>
        <v>2.75E-2</v>
      </c>
      <c r="AH210" s="100">
        <f t="shared" si="238"/>
        <v>2.9000000000000001E-2</v>
      </c>
      <c r="AI210" s="22">
        <f t="shared" si="239"/>
        <v>180</v>
      </c>
      <c r="AJ210" s="22">
        <f t="shared" si="240"/>
        <v>60</v>
      </c>
      <c r="AK210" s="106">
        <f t="shared" si="241"/>
        <v>1E-3</v>
      </c>
      <c r="AL210" s="22">
        <f t="shared" si="242"/>
        <v>3</v>
      </c>
      <c r="AM210" s="22">
        <f t="shared" si="243"/>
        <v>1500</v>
      </c>
      <c r="AN210" s="106">
        <f t="shared" si="244"/>
        <v>0.1</v>
      </c>
      <c r="AO210" s="184">
        <f t="shared" si="251"/>
        <v>286898</v>
      </c>
    </row>
    <row r="211" spans="1:41" x14ac:dyDescent="0.2">
      <c r="A211" s="3" t="s">
        <v>296</v>
      </c>
      <c r="B211" s="3" t="s">
        <v>296</v>
      </c>
      <c r="C211" s="55">
        <v>2179</v>
      </c>
      <c r="D211" s="79">
        <v>60.4086</v>
      </c>
      <c r="E211" s="79">
        <v>18.210799999999999</v>
      </c>
      <c r="F211" s="14">
        <v>8195</v>
      </c>
      <c r="G211" s="10">
        <v>0</v>
      </c>
      <c r="H211" s="122">
        <v>10</v>
      </c>
      <c r="I211" s="120">
        <v>-0.6</v>
      </c>
      <c r="J211" s="106">
        <v>0.89100000000000001</v>
      </c>
      <c r="K211" s="106">
        <v>3.5000000000000003E-2</v>
      </c>
      <c r="L211" s="100">
        <v>0.18559999999999999</v>
      </c>
      <c r="M211" s="79">
        <v>2.3300000000000001E-2</v>
      </c>
      <c r="N211" s="79">
        <v>2.5000000000000001E-2</v>
      </c>
      <c r="O211" s="14">
        <v>180</v>
      </c>
      <c r="P211" s="14">
        <v>60</v>
      </c>
      <c r="Q211" s="11">
        <v>1E-3</v>
      </c>
      <c r="R211" s="14">
        <v>3</v>
      </c>
      <c r="S211" s="14">
        <v>1500</v>
      </c>
      <c r="T211" s="11">
        <v>0.1</v>
      </c>
      <c r="U211" s="122">
        <v>268025</v>
      </c>
      <c r="V211" s="35"/>
      <c r="W211" s="99">
        <f t="shared" si="341"/>
        <v>2179</v>
      </c>
      <c r="X211" s="100">
        <f t="shared" si="342"/>
        <v>60.4086</v>
      </c>
      <c r="Y211" s="100">
        <f t="shared" si="343"/>
        <v>18.210799999999999</v>
      </c>
      <c r="Z211" s="22">
        <f t="shared" si="344"/>
        <v>8195</v>
      </c>
      <c r="AA211" s="35">
        <f t="shared" si="345"/>
        <v>0</v>
      </c>
      <c r="AB211" s="22">
        <f t="shared" si="346"/>
        <v>10</v>
      </c>
      <c r="AC211" s="120">
        <f>ROUND(I211+mwreg!$G$25/100,3)</f>
        <v>-0.53700000000000003</v>
      </c>
      <c r="AD211" s="106">
        <f>ROUND(J211+mwreg!$G$25/100,3)</f>
        <v>0.95399999999999996</v>
      </c>
      <c r="AE211" s="106">
        <f>ROUND(K211+mwreg!$G$25/100,3)</f>
        <v>9.8000000000000004E-2</v>
      </c>
      <c r="AF211" s="100">
        <f t="shared" si="319"/>
        <v>0.18559999999999999</v>
      </c>
      <c r="AG211" s="100">
        <f t="shared" si="320"/>
        <v>2.3300000000000001E-2</v>
      </c>
      <c r="AH211" s="100">
        <f t="shared" si="238"/>
        <v>2.5000000000000001E-2</v>
      </c>
      <c r="AI211" s="22">
        <f t="shared" si="239"/>
        <v>180</v>
      </c>
      <c r="AJ211" s="22">
        <f t="shared" si="240"/>
        <v>60</v>
      </c>
      <c r="AK211" s="106">
        <f t="shared" si="241"/>
        <v>1E-3</v>
      </c>
      <c r="AL211" s="22">
        <f t="shared" si="242"/>
        <v>3</v>
      </c>
      <c r="AM211" s="22">
        <f t="shared" si="243"/>
        <v>1500</v>
      </c>
      <c r="AN211" s="106">
        <f t="shared" si="244"/>
        <v>0.1</v>
      </c>
      <c r="AO211" s="184">
        <f t="shared" si="251"/>
        <v>268025</v>
      </c>
    </row>
    <row r="212" spans="1:41" x14ac:dyDescent="0.2">
      <c r="A212" s="3" t="s">
        <v>296</v>
      </c>
      <c r="B212" s="3" t="s">
        <v>296</v>
      </c>
      <c r="C212" s="55">
        <v>2179</v>
      </c>
      <c r="D212" s="79">
        <v>60.4086</v>
      </c>
      <c r="E212" s="79">
        <v>18.210799999999999</v>
      </c>
      <c r="F212" s="14">
        <v>8195</v>
      </c>
      <c r="G212" s="10">
        <v>0</v>
      </c>
      <c r="H212" s="122">
        <v>11</v>
      </c>
      <c r="I212" s="120">
        <v>-0.79</v>
      </c>
      <c r="J212" s="106">
        <v>1.0609999999999999</v>
      </c>
      <c r="K212" s="106">
        <v>4.1000000000000002E-2</v>
      </c>
      <c r="L212" s="100">
        <v>0.2102</v>
      </c>
      <c r="M212" s="79">
        <v>2.8000000000000001E-2</v>
      </c>
      <c r="N212" s="79">
        <v>0.03</v>
      </c>
      <c r="O212" s="14">
        <v>180</v>
      </c>
      <c r="P212" s="14">
        <v>60</v>
      </c>
      <c r="Q212" s="11">
        <v>1E-3</v>
      </c>
      <c r="R212" s="14">
        <v>3</v>
      </c>
      <c r="S212" s="14">
        <v>1500</v>
      </c>
      <c r="T212" s="11">
        <v>0.1</v>
      </c>
      <c r="U212" s="122">
        <v>285639</v>
      </c>
      <c r="V212" s="35"/>
      <c r="W212" s="99">
        <f t="shared" si="341"/>
        <v>2179</v>
      </c>
      <c r="X212" s="100">
        <f t="shared" si="342"/>
        <v>60.4086</v>
      </c>
      <c r="Y212" s="100">
        <f t="shared" si="343"/>
        <v>18.210799999999999</v>
      </c>
      <c r="Z212" s="22">
        <f t="shared" si="344"/>
        <v>8195</v>
      </c>
      <c r="AA212" s="35">
        <f t="shared" si="345"/>
        <v>0</v>
      </c>
      <c r="AB212" s="22">
        <f t="shared" si="346"/>
        <v>11</v>
      </c>
      <c r="AC212" s="120">
        <f>ROUND(I212+mwreg!$G$25/100,3)</f>
        <v>-0.72699999999999998</v>
      </c>
      <c r="AD212" s="106">
        <f>ROUND(J212+mwreg!$G$25/100,3)</f>
        <v>1.1240000000000001</v>
      </c>
      <c r="AE212" s="106">
        <f>ROUND(K212+mwreg!$G$25/100,3)</f>
        <v>0.104</v>
      </c>
      <c r="AF212" s="100">
        <f t="shared" si="319"/>
        <v>0.2102</v>
      </c>
      <c r="AG212" s="100">
        <f t="shared" si="320"/>
        <v>2.8000000000000001E-2</v>
      </c>
      <c r="AH212" s="100">
        <f t="shared" si="238"/>
        <v>0.03</v>
      </c>
      <c r="AI212" s="22">
        <f t="shared" si="239"/>
        <v>180</v>
      </c>
      <c r="AJ212" s="22">
        <f t="shared" si="240"/>
        <v>60</v>
      </c>
      <c r="AK212" s="106">
        <f t="shared" si="241"/>
        <v>1E-3</v>
      </c>
      <c r="AL212" s="22">
        <f t="shared" si="242"/>
        <v>3</v>
      </c>
      <c r="AM212" s="22">
        <f t="shared" si="243"/>
        <v>1500</v>
      </c>
      <c r="AN212" s="106">
        <f t="shared" si="244"/>
        <v>0.1</v>
      </c>
      <c r="AO212" s="184">
        <f t="shared" si="251"/>
        <v>285639</v>
      </c>
    </row>
    <row r="213" spans="1:41" x14ac:dyDescent="0.2">
      <c r="A213" s="3" t="s">
        <v>296</v>
      </c>
      <c r="B213" s="3" t="s">
        <v>296</v>
      </c>
      <c r="C213" s="55">
        <v>2179</v>
      </c>
      <c r="D213" s="79">
        <v>60.4086</v>
      </c>
      <c r="E213" s="79">
        <v>18.210799999999999</v>
      </c>
      <c r="F213" s="14">
        <v>8195</v>
      </c>
      <c r="G213" s="10">
        <v>0</v>
      </c>
      <c r="H213" s="122">
        <v>12</v>
      </c>
      <c r="I213" s="120">
        <v>-0.71499999999999997</v>
      </c>
      <c r="J213" s="106">
        <v>1.37</v>
      </c>
      <c r="K213" s="106">
        <v>0.113</v>
      </c>
      <c r="L213" s="100">
        <v>0.2268</v>
      </c>
      <c r="M213" s="79">
        <v>6.0699999999999997E-2</v>
      </c>
      <c r="N213" s="79">
        <v>6.2700000000000006E-2</v>
      </c>
      <c r="O213" s="14">
        <v>180</v>
      </c>
      <c r="P213" s="14">
        <v>60</v>
      </c>
      <c r="Q213" s="11">
        <v>1E-3</v>
      </c>
      <c r="R213" s="14">
        <v>3</v>
      </c>
      <c r="S213" s="14">
        <v>1500</v>
      </c>
      <c r="T213" s="11">
        <v>0.1</v>
      </c>
      <c r="U213" s="122">
        <v>233050</v>
      </c>
      <c r="V213" s="35"/>
      <c r="W213" s="99">
        <f t="shared" si="341"/>
        <v>2179</v>
      </c>
      <c r="X213" s="100">
        <f t="shared" si="342"/>
        <v>60.4086</v>
      </c>
      <c r="Y213" s="100">
        <f t="shared" si="343"/>
        <v>18.210799999999999</v>
      </c>
      <c r="Z213" s="22">
        <f t="shared" si="344"/>
        <v>8195</v>
      </c>
      <c r="AA213" s="35">
        <f t="shared" si="345"/>
        <v>0</v>
      </c>
      <c r="AB213" s="22">
        <f t="shared" si="346"/>
        <v>12</v>
      </c>
      <c r="AC213" s="120">
        <f>ROUND(I213+mwreg!$G$25/100,3)</f>
        <v>-0.65200000000000002</v>
      </c>
      <c r="AD213" s="106">
        <f>ROUND(J213+mwreg!$G$25/100,3)</f>
        <v>1.4330000000000001</v>
      </c>
      <c r="AE213" s="106">
        <f>ROUND(K213+mwreg!$G$25/100,3)</f>
        <v>0.17599999999999999</v>
      </c>
      <c r="AF213" s="100">
        <f t="shared" si="319"/>
        <v>0.2268</v>
      </c>
      <c r="AG213" s="100">
        <f t="shared" si="320"/>
        <v>6.0699999999999997E-2</v>
      </c>
      <c r="AH213" s="100">
        <f t="shared" si="238"/>
        <v>6.2700000000000006E-2</v>
      </c>
      <c r="AI213" s="22">
        <f t="shared" si="239"/>
        <v>180</v>
      </c>
      <c r="AJ213" s="22">
        <f t="shared" si="240"/>
        <v>60</v>
      </c>
      <c r="AK213" s="106">
        <f t="shared" si="241"/>
        <v>1E-3</v>
      </c>
      <c r="AL213" s="22">
        <f t="shared" si="242"/>
        <v>3</v>
      </c>
      <c r="AM213" s="22">
        <f t="shared" si="243"/>
        <v>1500</v>
      </c>
      <c r="AN213" s="106">
        <f t="shared" si="244"/>
        <v>0.1</v>
      </c>
      <c r="AO213" s="184">
        <f t="shared" si="251"/>
        <v>233050</v>
      </c>
    </row>
    <row r="214" spans="1:41" x14ac:dyDescent="0.2">
      <c r="A214" s="3" t="str">
        <f>stat_uppg!A26</f>
        <v>?/?</v>
      </c>
      <c r="B214" s="3" t="str">
        <f>stat_uppg!B26</f>
        <v>KAPELLSKÄR (SJÖV) planerad</v>
      </c>
      <c r="C214" s="219" t="s">
        <v>422</v>
      </c>
      <c r="D214" s="160">
        <v>59.719099999999997</v>
      </c>
      <c r="E214" s="160">
        <v>19.0687</v>
      </c>
      <c r="F214" s="20">
        <v>8195</v>
      </c>
      <c r="G214" s="18">
        <v>0</v>
      </c>
      <c r="H214" s="220">
        <v>1</v>
      </c>
      <c r="I214" s="121">
        <f>ROUND(0.364*I202+0.636*I238,3)</f>
        <v>-0.67800000000000005</v>
      </c>
      <c r="J214" s="101">
        <f>ROUND(0.364*J202+0.636*J238,3)</f>
        <v>1.264</v>
      </c>
      <c r="K214" s="101">
        <f>ROUND(0.364*K202+0.636*K238,3)</f>
        <v>0.14299999999999999</v>
      </c>
      <c r="L214" s="102">
        <f>ROUND(0.364*L202+0.636*L238,4)</f>
        <v>0.26229999999999998</v>
      </c>
      <c r="M214" s="102">
        <f>ROUND(0.364*M202+0.636*M238,4)</f>
        <v>7.5800000000000006E-2</v>
      </c>
      <c r="N214" s="102">
        <f>ROUND(0.364*N202+0.636*N238,4)</f>
        <v>7.7100000000000002E-2</v>
      </c>
      <c r="O214" s="21">
        <f>ROUND(0.364*O202+0.636*O238,0)</f>
        <v>180</v>
      </c>
      <c r="P214" s="21">
        <f>ROUND(0.364*P202+0.636*P238,0)</f>
        <v>60</v>
      </c>
      <c r="Q214" s="101">
        <f>ROUND(0.364*Q202+0.636*Q238,3)</f>
        <v>1E-3</v>
      </c>
      <c r="R214" s="21">
        <f>ROUND(0.364*R202+0.636*R238,0)</f>
        <v>3</v>
      </c>
      <c r="S214" s="21">
        <f>ROUND(0.364*S202+0.636*S238,0)</f>
        <v>1500</v>
      </c>
      <c r="T214" s="101">
        <f>ROUND(0.364*T202+0.636*T238,3)</f>
        <v>0.1</v>
      </c>
      <c r="U214" s="54" t="s">
        <v>282</v>
      </c>
      <c r="V214" s="35"/>
      <c r="W214" s="58" t="str">
        <f t="shared" ref="W214:W225" si="347">C214</f>
        <v>?</v>
      </c>
      <c r="X214" s="102">
        <f t="shared" ref="X214:X225" si="348">ROUND(D214,4)</f>
        <v>59.719099999999997</v>
      </c>
      <c r="Y214" s="102">
        <f t="shared" ref="Y214:Y225" si="349">ROUND(E214,4)</f>
        <v>19.0687</v>
      </c>
      <c r="Z214" s="21">
        <f t="shared" ref="Z214:Z225" si="350">F214</f>
        <v>8195</v>
      </c>
      <c r="AA214" s="44">
        <f t="shared" ref="AA214:AA225" si="351">G214</f>
        <v>0</v>
      </c>
      <c r="AB214" s="21">
        <f t="shared" ref="AB214:AB225" si="352">H214</f>
        <v>1</v>
      </c>
      <c r="AC214" s="121">
        <f>ROUND(I214+mwreg!$G$26/100,3)</f>
        <v>-0.59399999999999997</v>
      </c>
      <c r="AD214" s="101">
        <f>ROUND(J214+mwreg!$G$26/100,3)</f>
        <v>1.3480000000000001</v>
      </c>
      <c r="AE214" s="101">
        <f>ROUND(K214+mwreg!$G$26/100,3)</f>
        <v>0.22700000000000001</v>
      </c>
      <c r="AF214" s="102">
        <f t="shared" ref="AF214:AF225" si="353">L214</f>
        <v>0.26229999999999998</v>
      </c>
      <c r="AG214" s="102">
        <f t="shared" ref="AG214:AG225" si="354">M214</f>
        <v>7.5800000000000006E-2</v>
      </c>
      <c r="AH214" s="102">
        <f t="shared" ref="AH214:AH225" si="355">N214</f>
        <v>7.7100000000000002E-2</v>
      </c>
      <c r="AI214" s="21">
        <f t="shared" ref="AI214:AI225" si="356">O214</f>
        <v>180</v>
      </c>
      <c r="AJ214" s="21">
        <f t="shared" ref="AJ214:AJ225" si="357">P214</f>
        <v>60</v>
      </c>
      <c r="AK214" s="101">
        <f t="shared" ref="AK214:AK225" si="358">Q214</f>
        <v>1E-3</v>
      </c>
      <c r="AL214" s="21">
        <f t="shared" ref="AL214:AL225" si="359">R214</f>
        <v>3</v>
      </c>
      <c r="AM214" s="21">
        <f t="shared" ref="AM214:AM225" si="360">S214</f>
        <v>1500</v>
      </c>
      <c r="AN214" s="101">
        <f t="shared" ref="AN214:AN225" si="361">T214</f>
        <v>0.1</v>
      </c>
      <c r="AO214" s="185" t="str">
        <f t="shared" ref="AO214:AO225" si="362">U214</f>
        <v>NaN</v>
      </c>
    </row>
    <row r="215" spans="1:41" x14ac:dyDescent="0.2">
      <c r="A215" s="3" t="s">
        <v>296</v>
      </c>
      <c r="B215" s="3" t="s">
        <v>296</v>
      </c>
      <c r="C215" s="219" t="s">
        <v>422</v>
      </c>
      <c r="D215" s="160">
        <v>59.719099999999997</v>
      </c>
      <c r="E215" s="160">
        <v>19.0687</v>
      </c>
      <c r="F215" s="20">
        <v>8195</v>
      </c>
      <c r="G215" s="18">
        <v>0</v>
      </c>
      <c r="H215" s="53">
        <v>2</v>
      </c>
      <c r="I215" s="121">
        <f t="shared" ref="I215:K215" si="363">ROUND(0.364*I203+0.636*I239,3)</f>
        <v>-0.68100000000000005</v>
      </c>
      <c r="J215" s="101">
        <f t="shared" si="363"/>
        <v>1.1419999999999999</v>
      </c>
      <c r="K215" s="101">
        <f t="shared" si="363"/>
        <v>8.5000000000000006E-2</v>
      </c>
      <c r="L215" s="102">
        <f t="shared" ref="L215:N215" si="364">ROUND(0.364*L203+0.636*L239,4)</f>
        <v>0.29039999999999999</v>
      </c>
      <c r="M215" s="102">
        <f t="shared" si="364"/>
        <v>6.0499999999999998E-2</v>
      </c>
      <c r="N215" s="102">
        <f t="shared" si="364"/>
        <v>6.1800000000000001E-2</v>
      </c>
      <c r="O215" s="21">
        <f t="shared" ref="O215:P215" si="365">ROUND(0.364*O203+0.636*O239,0)</f>
        <v>180</v>
      </c>
      <c r="P215" s="21">
        <f t="shared" si="365"/>
        <v>60</v>
      </c>
      <c r="Q215" s="101">
        <f t="shared" ref="Q215:Q225" si="366">ROUND(0.364*Q203+0.636*Q239,3)</f>
        <v>1E-3</v>
      </c>
      <c r="R215" s="21">
        <f t="shared" ref="R215:S215" si="367">ROUND(0.364*R203+0.636*R239,0)</f>
        <v>3</v>
      </c>
      <c r="S215" s="21">
        <f t="shared" si="367"/>
        <v>1500</v>
      </c>
      <c r="T215" s="101">
        <f t="shared" ref="T215:T225" si="368">ROUND(0.364*T203+0.636*T239,3)</f>
        <v>0.1</v>
      </c>
      <c r="U215" s="54" t="s">
        <v>282</v>
      </c>
      <c r="V215" s="35"/>
      <c r="W215" s="58" t="str">
        <f t="shared" si="347"/>
        <v>?</v>
      </c>
      <c r="X215" s="102">
        <f t="shared" si="348"/>
        <v>59.719099999999997</v>
      </c>
      <c r="Y215" s="102">
        <f t="shared" si="349"/>
        <v>19.0687</v>
      </c>
      <c r="Z215" s="21">
        <f t="shared" si="350"/>
        <v>8195</v>
      </c>
      <c r="AA215" s="44">
        <f t="shared" si="351"/>
        <v>0</v>
      </c>
      <c r="AB215" s="21">
        <f t="shared" si="352"/>
        <v>2</v>
      </c>
      <c r="AC215" s="121">
        <f>ROUND(I215+mwreg!$G$26/100,3)</f>
        <v>-0.59699999999999998</v>
      </c>
      <c r="AD215" s="101">
        <f>ROUND(J215+mwreg!$G$26/100,3)</f>
        <v>1.226</v>
      </c>
      <c r="AE215" s="101">
        <f>ROUND(K215+mwreg!$G$26/100,3)</f>
        <v>0.16900000000000001</v>
      </c>
      <c r="AF215" s="102">
        <f t="shared" si="353"/>
        <v>0.29039999999999999</v>
      </c>
      <c r="AG215" s="102">
        <f t="shared" si="354"/>
        <v>6.0499999999999998E-2</v>
      </c>
      <c r="AH215" s="102">
        <f t="shared" si="355"/>
        <v>6.1800000000000001E-2</v>
      </c>
      <c r="AI215" s="21">
        <f t="shared" si="356"/>
        <v>180</v>
      </c>
      <c r="AJ215" s="21">
        <f t="shared" si="357"/>
        <v>60</v>
      </c>
      <c r="AK215" s="101">
        <f t="shared" si="358"/>
        <v>1E-3</v>
      </c>
      <c r="AL215" s="21">
        <f t="shared" si="359"/>
        <v>3</v>
      </c>
      <c r="AM215" s="21">
        <f t="shared" si="360"/>
        <v>1500</v>
      </c>
      <c r="AN215" s="101">
        <f t="shared" si="361"/>
        <v>0.1</v>
      </c>
      <c r="AO215" s="185" t="str">
        <f t="shared" si="362"/>
        <v>NaN</v>
      </c>
    </row>
    <row r="216" spans="1:41" x14ac:dyDescent="0.2">
      <c r="A216" s="3" t="s">
        <v>296</v>
      </c>
      <c r="B216" s="3" t="s">
        <v>296</v>
      </c>
      <c r="C216" s="219" t="s">
        <v>422</v>
      </c>
      <c r="D216" s="160">
        <v>59.719099999999997</v>
      </c>
      <c r="E216" s="160">
        <v>19.0687</v>
      </c>
      <c r="F216" s="20">
        <v>8195</v>
      </c>
      <c r="G216" s="18">
        <v>0</v>
      </c>
      <c r="H216" s="220">
        <v>3</v>
      </c>
      <c r="I216" s="121">
        <f t="shared" ref="I216:K216" si="369">ROUND(0.364*I204+0.636*I240,3)</f>
        <v>-0.68899999999999995</v>
      </c>
      <c r="J216" s="101">
        <f t="shared" si="369"/>
        <v>0.93899999999999995</v>
      </c>
      <c r="K216" s="101">
        <f t="shared" si="369"/>
        <v>-0.02</v>
      </c>
      <c r="L216" s="102">
        <f t="shared" ref="L216:N216" si="370">ROUND(0.364*L204+0.636*L240,4)</f>
        <v>0.2447</v>
      </c>
      <c r="M216" s="102">
        <f t="shared" si="370"/>
        <v>3.5700000000000003E-2</v>
      </c>
      <c r="N216" s="102">
        <f t="shared" si="370"/>
        <v>3.6799999999999999E-2</v>
      </c>
      <c r="O216" s="21">
        <f t="shared" ref="O216:P216" si="371">ROUND(0.364*O204+0.636*O240,0)</f>
        <v>180</v>
      </c>
      <c r="P216" s="21">
        <f t="shared" si="371"/>
        <v>60</v>
      </c>
      <c r="Q216" s="101">
        <f t="shared" si="366"/>
        <v>1E-3</v>
      </c>
      <c r="R216" s="21">
        <f t="shared" ref="R216:S216" si="372">ROUND(0.364*R204+0.636*R240,0)</f>
        <v>3</v>
      </c>
      <c r="S216" s="21">
        <f t="shared" si="372"/>
        <v>1500</v>
      </c>
      <c r="T216" s="101">
        <f t="shared" si="368"/>
        <v>0.1</v>
      </c>
      <c r="U216" s="54" t="s">
        <v>282</v>
      </c>
      <c r="V216" s="35"/>
      <c r="W216" s="58" t="str">
        <f t="shared" si="347"/>
        <v>?</v>
      </c>
      <c r="X216" s="102">
        <f t="shared" si="348"/>
        <v>59.719099999999997</v>
      </c>
      <c r="Y216" s="102">
        <f t="shared" si="349"/>
        <v>19.0687</v>
      </c>
      <c r="Z216" s="21">
        <f t="shared" si="350"/>
        <v>8195</v>
      </c>
      <c r="AA216" s="44">
        <f t="shared" si="351"/>
        <v>0</v>
      </c>
      <c r="AB216" s="21">
        <f t="shared" si="352"/>
        <v>3</v>
      </c>
      <c r="AC216" s="121">
        <f>ROUND(I216+mwreg!$G$26/100,3)</f>
        <v>-0.60499999999999998</v>
      </c>
      <c r="AD216" s="101">
        <f>ROUND(J216+mwreg!$G$26/100,3)</f>
        <v>1.0229999999999999</v>
      </c>
      <c r="AE216" s="101">
        <f>ROUND(K216+mwreg!$G$26/100,3)</f>
        <v>6.4000000000000001E-2</v>
      </c>
      <c r="AF216" s="102">
        <f t="shared" si="353"/>
        <v>0.2447</v>
      </c>
      <c r="AG216" s="102">
        <f t="shared" si="354"/>
        <v>3.5700000000000003E-2</v>
      </c>
      <c r="AH216" s="102">
        <f t="shared" si="355"/>
        <v>3.6799999999999999E-2</v>
      </c>
      <c r="AI216" s="21">
        <f t="shared" si="356"/>
        <v>180</v>
      </c>
      <c r="AJ216" s="21">
        <f t="shared" si="357"/>
        <v>60</v>
      </c>
      <c r="AK216" s="101">
        <f t="shared" si="358"/>
        <v>1E-3</v>
      </c>
      <c r="AL216" s="21">
        <f t="shared" si="359"/>
        <v>3</v>
      </c>
      <c r="AM216" s="21">
        <f t="shared" si="360"/>
        <v>1500</v>
      </c>
      <c r="AN216" s="101">
        <f t="shared" si="361"/>
        <v>0.1</v>
      </c>
      <c r="AO216" s="185" t="str">
        <f t="shared" si="362"/>
        <v>NaN</v>
      </c>
    </row>
    <row r="217" spans="1:41" x14ac:dyDescent="0.2">
      <c r="A217" s="3" t="s">
        <v>296</v>
      </c>
      <c r="B217" s="3" t="s">
        <v>296</v>
      </c>
      <c r="C217" s="219" t="s">
        <v>422</v>
      </c>
      <c r="D217" s="160">
        <v>59.719099999999997</v>
      </c>
      <c r="E217" s="160">
        <v>19.0687</v>
      </c>
      <c r="F217" s="20">
        <v>8195</v>
      </c>
      <c r="G217" s="18">
        <v>0</v>
      </c>
      <c r="H217" s="53">
        <v>4</v>
      </c>
      <c r="I217" s="121">
        <f t="shared" ref="I217:K217" si="373">ROUND(0.364*I205+0.636*I241,3)</f>
        <v>-0.68500000000000005</v>
      </c>
      <c r="J217" s="101">
        <f t="shared" si="373"/>
        <v>0.84899999999999998</v>
      </c>
      <c r="K217" s="101">
        <f t="shared" si="373"/>
        <v>-8.3000000000000004E-2</v>
      </c>
      <c r="L217" s="102">
        <f t="shared" ref="L217:N217" si="374">ROUND(0.364*L205+0.636*L241,4)</f>
        <v>0.1598</v>
      </c>
      <c r="M217" s="102">
        <f t="shared" si="374"/>
        <v>2.7900000000000001E-2</v>
      </c>
      <c r="N217" s="102">
        <f t="shared" si="374"/>
        <v>2.9000000000000001E-2</v>
      </c>
      <c r="O217" s="21">
        <f t="shared" ref="O217:P217" si="375">ROUND(0.364*O205+0.636*O241,0)</f>
        <v>180</v>
      </c>
      <c r="P217" s="21">
        <f t="shared" si="375"/>
        <v>60</v>
      </c>
      <c r="Q217" s="101">
        <f t="shared" si="366"/>
        <v>1E-3</v>
      </c>
      <c r="R217" s="21">
        <f t="shared" ref="R217:S217" si="376">ROUND(0.364*R205+0.636*R241,0)</f>
        <v>3</v>
      </c>
      <c r="S217" s="21">
        <f t="shared" si="376"/>
        <v>1500</v>
      </c>
      <c r="T217" s="101">
        <f t="shared" si="368"/>
        <v>0.1</v>
      </c>
      <c r="U217" s="54" t="s">
        <v>282</v>
      </c>
      <c r="V217" s="35"/>
      <c r="W217" s="58" t="str">
        <f t="shared" si="347"/>
        <v>?</v>
      </c>
      <c r="X217" s="102">
        <f t="shared" si="348"/>
        <v>59.719099999999997</v>
      </c>
      <c r="Y217" s="102">
        <f t="shared" si="349"/>
        <v>19.0687</v>
      </c>
      <c r="Z217" s="21">
        <f t="shared" si="350"/>
        <v>8195</v>
      </c>
      <c r="AA217" s="44">
        <f t="shared" si="351"/>
        <v>0</v>
      </c>
      <c r="AB217" s="21">
        <f t="shared" si="352"/>
        <v>4</v>
      </c>
      <c r="AC217" s="121">
        <f>ROUND(I217+mwreg!$G$26/100,3)</f>
        <v>-0.60099999999999998</v>
      </c>
      <c r="AD217" s="101">
        <f>ROUND(J217+mwreg!$G$26/100,3)</f>
        <v>0.93300000000000005</v>
      </c>
      <c r="AE217" s="101">
        <f>ROUND(K217+mwreg!$G$26/100,3)</f>
        <v>1E-3</v>
      </c>
      <c r="AF217" s="102">
        <f t="shared" si="353"/>
        <v>0.1598</v>
      </c>
      <c r="AG217" s="102">
        <f t="shared" si="354"/>
        <v>2.7900000000000001E-2</v>
      </c>
      <c r="AH217" s="102">
        <f t="shared" si="355"/>
        <v>2.9000000000000001E-2</v>
      </c>
      <c r="AI217" s="21">
        <f t="shared" si="356"/>
        <v>180</v>
      </c>
      <c r="AJ217" s="21">
        <f t="shared" si="357"/>
        <v>60</v>
      </c>
      <c r="AK217" s="101">
        <f t="shared" si="358"/>
        <v>1E-3</v>
      </c>
      <c r="AL217" s="21">
        <f t="shared" si="359"/>
        <v>3</v>
      </c>
      <c r="AM217" s="21">
        <f t="shared" si="360"/>
        <v>1500</v>
      </c>
      <c r="AN217" s="101">
        <f t="shared" si="361"/>
        <v>0.1</v>
      </c>
      <c r="AO217" s="185" t="str">
        <f t="shared" si="362"/>
        <v>NaN</v>
      </c>
    </row>
    <row r="218" spans="1:41" x14ac:dyDescent="0.2">
      <c r="A218" s="3" t="s">
        <v>296</v>
      </c>
      <c r="B218" s="3" t="s">
        <v>296</v>
      </c>
      <c r="C218" s="219" t="s">
        <v>422</v>
      </c>
      <c r="D218" s="160">
        <v>59.719099999999997</v>
      </c>
      <c r="E218" s="160">
        <v>19.0687</v>
      </c>
      <c r="F218" s="20">
        <v>8195</v>
      </c>
      <c r="G218" s="18">
        <v>0</v>
      </c>
      <c r="H218" s="220">
        <v>5</v>
      </c>
      <c r="I218" s="121">
        <f t="shared" ref="I218:K218" si="377">ROUND(0.364*I206+0.636*I242,3)</f>
        <v>-0.60799999999999998</v>
      </c>
      <c r="J218" s="101">
        <f t="shared" si="377"/>
        <v>0.434</v>
      </c>
      <c r="K218" s="101">
        <f t="shared" si="377"/>
        <v>-8.1000000000000003E-2</v>
      </c>
      <c r="L218" s="102">
        <f t="shared" ref="L218:N218" si="378">ROUND(0.364*L206+0.636*L242,4)</f>
        <v>0.13519999999999999</v>
      </c>
      <c r="M218" s="102">
        <f t="shared" si="378"/>
        <v>5.6500000000000002E-2</v>
      </c>
      <c r="N218" s="102">
        <f t="shared" si="378"/>
        <v>5.7599999999999998E-2</v>
      </c>
      <c r="O218" s="21">
        <f t="shared" ref="O218:P218" si="379">ROUND(0.364*O206+0.636*O242,0)</f>
        <v>180</v>
      </c>
      <c r="P218" s="21">
        <f t="shared" si="379"/>
        <v>60</v>
      </c>
      <c r="Q218" s="101">
        <f t="shared" si="366"/>
        <v>1E-3</v>
      </c>
      <c r="R218" s="21">
        <f t="shared" ref="R218:S218" si="380">ROUND(0.364*R206+0.636*R242,0)</f>
        <v>3</v>
      </c>
      <c r="S218" s="21">
        <f t="shared" si="380"/>
        <v>1500</v>
      </c>
      <c r="T218" s="101">
        <f t="shared" si="368"/>
        <v>0.1</v>
      </c>
      <c r="U218" s="54" t="s">
        <v>282</v>
      </c>
      <c r="V218" s="35"/>
      <c r="W218" s="58" t="str">
        <f t="shared" si="347"/>
        <v>?</v>
      </c>
      <c r="X218" s="102">
        <f t="shared" si="348"/>
        <v>59.719099999999997</v>
      </c>
      <c r="Y218" s="102">
        <f t="shared" si="349"/>
        <v>19.0687</v>
      </c>
      <c r="Z218" s="21">
        <f t="shared" si="350"/>
        <v>8195</v>
      </c>
      <c r="AA218" s="44">
        <f t="shared" si="351"/>
        <v>0</v>
      </c>
      <c r="AB218" s="21">
        <f t="shared" si="352"/>
        <v>5</v>
      </c>
      <c r="AC218" s="121">
        <f>ROUND(I218+mwreg!$G$26/100,3)</f>
        <v>-0.52400000000000002</v>
      </c>
      <c r="AD218" s="101">
        <f>ROUND(J218+mwreg!$G$26/100,3)</f>
        <v>0.51800000000000002</v>
      </c>
      <c r="AE218" s="101">
        <f>ROUND(K218+mwreg!$G$26/100,3)</f>
        <v>3.0000000000000001E-3</v>
      </c>
      <c r="AF218" s="102">
        <f t="shared" si="353"/>
        <v>0.13519999999999999</v>
      </c>
      <c r="AG218" s="102">
        <f t="shared" si="354"/>
        <v>5.6500000000000002E-2</v>
      </c>
      <c r="AH218" s="102">
        <f t="shared" si="355"/>
        <v>5.7599999999999998E-2</v>
      </c>
      <c r="AI218" s="21">
        <f t="shared" si="356"/>
        <v>180</v>
      </c>
      <c r="AJ218" s="21">
        <f t="shared" si="357"/>
        <v>60</v>
      </c>
      <c r="AK218" s="101">
        <f t="shared" si="358"/>
        <v>1E-3</v>
      </c>
      <c r="AL218" s="21">
        <f t="shared" si="359"/>
        <v>3</v>
      </c>
      <c r="AM218" s="21">
        <f t="shared" si="360"/>
        <v>1500</v>
      </c>
      <c r="AN218" s="101">
        <f t="shared" si="361"/>
        <v>0.1</v>
      </c>
      <c r="AO218" s="185" t="str">
        <f t="shared" si="362"/>
        <v>NaN</v>
      </c>
    </row>
    <row r="219" spans="1:41" x14ac:dyDescent="0.2">
      <c r="A219" s="3" t="s">
        <v>296</v>
      </c>
      <c r="B219" s="3" t="s">
        <v>296</v>
      </c>
      <c r="C219" s="219" t="s">
        <v>422</v>
      </c>
      <c r="D219" s="160">
        <v>59.719099999999997</v>
      </c>
      <c r="E219" s="160">
        <v>19.0687</v>
      </c>
      <c r="F219" s="20">
        <v>8195</v>
      </c>
      <c r="G219" s="18">
        <v>0</v>
      </c>
      <c r="H219" s="53">
        <v>6</v>
      </c>
      <c r="I219" s="121">
        <f t="shared" ref="I219:K219" si="381">ROUND(0.364*I207+0.636*I243,3)</f>
        <v>-0.45300000000000001</v>
      </c>
      <c r="J219" s="101">
        <f t="shared" si="381"/>
        <v>0.47699999999999998</v>
      </c>
      <c r="K219" s="101">
        <f t="shared" si="381"/>
        <v>-0.05</v>
      </c>
      <c r="L219" s="102">
        <f t="shared" ref="L219:N219" si="382">ROUND(0.364*L207+0.636*L243,4)</f>
        <v>0.1134</v>
      </c>
      <c r="M219" s="102">
        <f t="shared" si="382"/>
        <v>8.5300000000000001E-2</v>
      </c>
      <c r="N219" s="102">
        <f t="shared" si="382"/>
        <v>8.6499999999999994E-2</v>
      </c>
      <c r="O219" s="21">
        <f t="shared" ref="O219:P219" si="383">ROUND(0.364*O207+0.636*O243,0)</f>
        <v>180</v>
      </c>
      <c r="P219" s="21">
        <f t="shared" si="383"/>
        <v>60</v>
      </c>
      <c r="Q219" s="101">
        <f t="shared" si="366"/>
        <v>1E-3</v>
      </c>
      <c r="R219" s="21">
        <f t="shared" ref="R219:S219" si="384">ROUND(0.364*R207+0.636*R243,0)</f>
        <v>3</v>
      </c>
      <c r="S219" s="21">
        <f t="shared" si="384"/>
        <v>1500</v>
      </c>
      <c r="T219" s="101">
        <f t="shared" si="368"/>
        <v>0.1</v>
      </c>
      <c r="U219" s="54" t="s">
        <v>282</v>
      </c>
      <c r="V219" s="35"/>
      <c r="W219" s="58" t="str">
        <f t="shared" si="347"/>
        <v>?</v>
      </c>
      <c r="X219" s="102">
        <f t="shared" si="348"/>
        <v>59.719099999999997</v>
      </c>
      <c r="Y219" s="102">
        <f t="shared" si="349"/>
        <v>19.0687</v>
      </c>
      <c r="Z219" s="21">
        <f t="shared" si="350"/>
        <v>8195</v>
      </c>
      <c r="AA219" s="44">
        <f t="shared" si="351"/>
        <v>0</v>
      </c>
      <c r="AB219" s="21">
        <f t="shared" si="352"/>
        <v>6</v>
      </c>
      <c r="AC219" s="121">
        <f>ROUND(I219+mwreg!$G$26/100,3)</f>
        <v>-0.36899999999999999</v>
      </c>
      <c r="AD219" s="101">
        <f>ROUND(J219+mwreg!$G$26/100,3)</f>
        <v>0.56100000000000005</v>
      </c>
      <c r="AE219" s="101">
        <f>ROUND(K219+mwreg!$G$26/100,3)</f>
        <v>3.4000000000000002E-2</v>
      </c>
      <c r="AF219" s="102">
        <f t="shared" si="353"/>
        <v>0.1134</v>
      </c>
      <c r="AG219" s="102">
        <f t="shared" si="354"/>
        <v>8.5300000000000001E-2</v>
      </c>
      <c r="AH219" s="102">
        <f t="shared" si="355"/>
        <v>8.6499999999999994E-2</v>
      </c>
      <c r="AI219" s="21">
        <f t="shared" si="356"/>
        <v>180</v>
      </c>
      <c r="AJ219" s="21">
        <f t="shared" si="357"/>
        <v>60</v>
      </c>
      <c r="AK219" s="101">
        <f t="shared" si="358"/>
        <v>1E-3</v>
      </c>
      <c r="AL219" s="21">
        <f t="shared" si="359"/>
        <v>3</v>
      </c>
      <c r="AM219" s="21">
        <f t="shared" si="360"/>
        <v>1500</v>
      </c>
      <c r="AN219" s="101">
        <f t="shared" si="361"/>
        <v>0.1</v>
      </c>
      <c r="AO219" s="185" t="str">
        <f t="shared" si="362"/>
        <v>NaN</v>
      </c>
    </row>
    <row r="220" spans="1:41" x14ac:dyDescent="0.2">
      <c r="A220" s="3" t="s">
        <v>296</v>
      </c>
      <c r="B220" s="3" t="s">
        <v>296</v>
      </c>
      <c r="C220" s="219" t="s">
        <v>422</v>
      </c>
      <c r="D220" s="160">
        <v>59.719099999999997</v>
      </c>
      <c r="E220" s="160">
        <v>19.0687</v>
      </c>
      <c r="F220" s="20">
        <v>8195</v>
      </c>
      <c r="G220" s="18">
        <v>0</v>
      </c>
      <c r="H220" s="220">
        <v>7</v>
      </c>
      <c r="I220" s="121">
        <f t="shared" ref="I220:K220" si="385">ROUND(0.364*I208+0.636*I244,3)</f>
        <v>-0.35099999999999998</v>
      </c>
      <c r="J220" s="101">
        <f t="shared" si="385"/>
        <v>0.48699999999999999</v>
      </c>
      <c r="K220" s="101">
        <f t="shared" si="385"/>
        <v>5.8999999999999997E-2</v>
      </c>
      <c r="L220" s="102">
        <f t="shared" ref="L220:N220" si="386">ROUND(0.364*L208+0.636*L244,4)</f>
        <v>0.1143</v>
      </c>
      <c r="M220" s="102">
        <f t="shared" si="386"/>
        <v>1.5800000000000002E-2</v>
      </c>
      <c r="N220" s="102">
        <f t="shared" si="386"/>
        <v>1.67E-2</v>
      </c>
      <c r="O220" s="21">
        <f t="shared" ref="O220:P220" si="387">ROUND(0.364*O208+0.636*O244,0)</f>
        <v>180</v>
      </c>
      <c r="P220" s="21">
        <f t="shared" si="387"/>
        <v>60</v>
      </c>
      <c r="Q220" s="101">
        <f t="shared" si="366"/>
        <v>1E-3</v>
      </c>
      <c r="R220" s="21">
        <f t="shared" ref="R220:S220" si="388">ROUND(0.364*R208+0.636*R244,0)</f>
        <v>3</v>
      </c>
      <c r="S220" s="21">
        <f t="shared" si="388"/>
        <v>1500</v>
      </c>
      <c r="T220" s="101">
        <f t="shared" si="368"/>
        <v>0.1</v>
      </c>
      <c r="U220" s="54" t="s">
        <v>282</v>
      </c>
      <c r="V220" s="35"/>
      <c r="W220" s="58" t="str">
        <f t="shared" si="347"/>
        <v>?</v>
      </c>
      <c r="X220" s="102">
        <f t="shared" si="348"/>
        <v>59.719099999999997</v>
      </c>
      <c r="Y220" s="102">
        <f t="shared" si="349"/>
        <v>19.0687</v>
      </c>
      <c r="Z220" s="21">
        <f t="shared" si="350"/>
        <v>8195</v>
      </c>
      <c r="AA220" s="44">
        <f t="shared" si="351"/>
        <v>0</v>
      </c>
      <c r="AB220" s="21">
        <f t="shared" si="352"/>
        <v>7</v>
      </c>
      <c r="AC220" s="121">
        <f>ROUND(I220+mwreg!$G$26/100,3)</f>
        <v>-0.26700000000000002</v>
      </c>
      <c r="AD220" s="101">
        <f>ROUND(J220+mwreg!$G$26/100,3)</f>
        <v>0.57099999999999995</v>
      </c>
      <c r="AE220" s="101">
        <f>ROUND(K220+mwreg!$G$26/100,3)</f>
        <v>0.14299999999999999</v>
      </c>
      <c r="AF220" s="102">
        <f t="shared" si="353"/>
        <v>0.1143</v>
      </c>
      <c r="AG220" s="102">
        <f t="shared" si="354"/>
        <v>1.5800000000000002E-2</v>
      </c>
      <c r="AH220" s="102">
        <f t="shared" si="355"/>
        <v>1.67E-2</v>
      </c>
      <c r="AI220" s="21">
        <f t="shared" si="356"/>
        <v>180</v>
      </c>
      <c r="AJ220" s="21">
        <f t="shared" si="357"/>
        <v>60</v>
      </c>
      <c r="AK220" s="101">
        <f t="shared" si="358"/>
        <v>1E-3</v>
      </c>
      <c r="AL220" s="21">
        <f t="shared" si="359"/>
        <v>3</v>
      </c>
      <c r="AM220" s="21">
        <f t="shared" si="360"/>
        <v>1500</v>
      </c>
      <c r="AN220" s="101">
        <f t="shared" si="361"/>
        <v>0.1</v>
      </c>
      <c r="AO220" s="185" t="str">
        <f t="shared" si="362"/>
        <v>NaN</v>
      </c>
    </row>
    <row r="221" spans="1:41" x14ac:dyDescent="0.2">
      <c r="A221" s="3" t="s">
        <v>296</v>
      </c>
      <c r="B221" s="3" t="s">
        <v>296</v>
      </c>
      <c r="C221" s="219" t="s">
        <v>422</v>
      </c>
      <c r="D221" s="160">
        <v>59.719099999999997</v>
      </c>
      <c r="E221" s="160">
        <v>19.0687</v>
      </c>
      <c r="F221" s="20">
        <v>8195</v>
      </c>
      <c r="G221" s="18">
        <v>0</v>
      </c>
      <c r="H221" s="53">
        <v>8</v>
      </c>
      <c r="I221" s="121">
        <f t="shared" ref="I221:K221" si="389">ROUND(0.364*I209+0.636*I245,3)</f>
        <v>-0.39400000000000002</v>
      </c>
      <c r="J221" s="101">
        <f t="shared" si="389"/>
        <v>0.61099999999999999</v>
      </c>
      <c r="K221" s="101">
        <f t="shared" si="389"/>
        <v>2.3E-2</v>
      </c>
      <c r="L221" s="102">
        <f t="shared" ref="L221:N221" si="390">ROUND(0.364*L209+0.636*L245,4)</f>
        <v>0.1174</v>
      </c>
      <c r="M221" s="102">
        <f t="shared" si="390"/>
        <v>0.04</v>
      </c>
      <c r="N221" s="102">
        <f t="shared" si="390"/>
        <v>4.0899999999999999E-2</v>
      </c>
      <c r="O221" s="21">
        <f t="shared" ref="O221:P221" si="391">ROUND(0.364*O209+0.636*O245,0)</f>
        <v>180</v>
      </c>
      <c r="P221" s="21">
        <f t="shared" si="391"/>
        <v>60</v>
      </c>
      <c r="Q221" s="101">
        <f t="shared" si="366"/>
        <v>1E-3</v>
      </c>
      <c r="R221" s="21">
        <f t="shared" ref="R221:S221" si="392">ROUND(0.364*R209+0.636*R245,0)</f>
        <v>3</v>
      </c>
      <c r="S221" s="21">
        <f t="shared" si="392"/>
        <v>1500</v>
      </c>
      <c r="T221" s="101">
        <f t="shared" si="368"/>
        <v>0.1</v>
      </c>
      <c r="U221" s="54" t="s">
        <v>282</v>
      </c>
      <c r="V221" s="35"/>
      <c r="W221" s="58" t="str">
        <f t="shared" si="347"/>
        <v>?</v>
      </c>
      <c r="X221" s="102">
        <f t="shared" si="348"/>
        <v>59.719099999999997</v>
      </c>
      <c r="Y221" s="102">
        <f t="shared" si="349"/>
        <v>19.0687</v>
      </c>
      <c r="Z221" s="21">
        <f t="shared" si="350"/>
        <v>8195</v>
      </c>
      <c r="AA221" s="44">
        <f t="shared" si="351"/>
        <v>0</v>
      </c>
      <c r="AB221" s="21">
        <f t="shared" si="352"/>
        <v>8</v>
      </c>
      <c r="AC221" s="121">
        <f>ROUND(I221+mwreg!$G$26/100,3)</f>
        <v>-0.31</v>
      </c>
      <c r="AD221" s="101">
        <f>ROUND(J221+mwreg!$G$26/100,3)</f>
        <v>0.69499999999999995</v>
      </c>
      <c r="AE221" s="101">
        <f>ROUND(K221+mwreg!$G$26/100,3)</f>
        <v>0.107</v>
      </c>
      <c r="AF221" s="102">
        <f t="shared" si="353"/>
        <v>0.1174</v>
      </c>
      <c r="AG221" s="102">
        <f t="shared" si="354"/>
        <v>0.04</v>
      </c>
      <c r="AH221" s="102">
        <f t="shared" si="355"/>
        <v>4.0899999999999999E-2</v>
      </c>
      <c r="AI221" s="21">
        <f t="shared" si="356"/>
        <v>180</v>
      </c>
      <c r="AJ221" s="21">
        <f t="shared" si="357"/>
        <v>60</v>
      </c>
      <c r="AK221" s="101">
        <f t="shared" si="358"/>
        <v>1E-3</v>
      </c>
      <c r="AL221" s="21">
        <f t="shared" si="359"/>
        <v>3</v>
      </c>
      <c r="AM221" s="21">
        <f t="shared" si="360"/>
        <v>1500</v>
      </c>
      <c r="AN221" s="101">
        <f t="shared" si="361"/>
        <v>0.1</v>
      </c>
      <c r="AO221" s="185" t="str">
        <f t="shared" si="362"/>
        <v>NaN</v>
      </c>
    </row>
    <row r="222" spans="1:41" x14ac:dyDescent="0.2">
      <c r="A222" s="3" t="s">
        <v>296</v>
      </c>
      <c r="B222" s="3" t="s">
        <v>296</v>
      </c>
      <c r="C222" s="219" t="s">
        <v>422</v>
      </c>
      <c r="D222" s="160">
        <v>59.719099999999997</v>
      </c>
      <c r="E222" s="160">
        <v>19.0687</v>
      </c>
      <c r="F222" s="20">
        <v>8195</v>
      </c>
      <c r="G222" s="18">
        <v>0</v>
      </c>
      <c r="H222" s="220">
        <v>9</v>
      </c>
      <c r="I222" s="121">
        <f t="shared" ref="I222:K222" si="393">ROUND(0.364*I210+0.636*I246,3)</f>
        <v>-0.48799999999999999</v>
      </c>
      <c r="J222" s="101">
        <f t="shared" si="393"/>
        <v>0.70899999999999996</v>
      </c>
      <c r="K222" s="101">
        <f t="shared" si="393"/>
        <v>6.4000000000000001E-2</v>
      </c>
      <c r="L222" s="102">
        <f t="shared" ref="L222:N222" si="394">ROUND(0.364*L210+0.636*L246,4)</f>
        <v>0.13850000000000001</v>
      </c>
      <c r="M222" s="102">
        <f t="shared" si="394"/>
        <v>0.1618</v>
      </c>
      <c r="N222" s="102">
        <f t="shared" si="394"/>
        <v>0.16320000000000001</v>
      </c>
      <c r="O222" s="21">
        <f t="shared" ref="O222:P222" si="395">ROUND(0.364*O210+0.636*O246,0)</f>
        <v>180</v>
      </c>
      <c r="P222" s="21">
        <f t="shared" si="395"/>
        <v>60</v>
      </c>
      <c r="Q222" s="101">
        <f t="shared" si="366"/>
        <v>1E-3</v>
      </c>
      <c r="R222" s="21">
        <f t="shared" ref="R222:S222" si="396">ROUND(0.364*R210+0.636*R246,0)</f>
        <v>3</v>
      </c>
      <c r="S222" s="21">
        <f t="shared" si="396"/>
        <v>1500</v>
      </c>
      <c r="T222" s="101">
        <f t="shared" si="368"/>
        <v>0.1</v>
      </c>
      <c r="U222" s="54" t="s">
        <v>282</v>
      </c>
      <c r="V222" s="35"/>
      <c r="W222" s="58" t="str">
        <f t="shared" si="347"/>
        <v>?</v>
      </c>
      <c r="X222" s="102">
        <f t="shared" si="348"/>
        <v>59.719099999999997</v>
      </c>
      <c r="Y222" s="102">
        <f t="shared" si="349"/>
        <v>19.0687</v>
      </c>
      <c r="Z222" s="21">
        <f t="shared" si="350"/>
        <v>8195</v>
      </c>
      <c r="AA222" s="44">
        <f t="shared" si="351"/>
        <v>0</v>
      </c>
      <c r="AB222" s="21">
        <f t="shared" si="352"/>
        <v>9</v>
      </c>
      <c r="AC222" s="121">
        <f>ROUND(I222+mwreg!$G$26/100,3)</f>
        <v>-0.40400000000000003</v>
      </c>
      <c r="AD222" s="101">
        <f>ROUND(J222+mwreg!$G$26/100,3)</f>
        <v>0.79300000000000004</v>
      </c>
      <c r="AE222" s="101">
        <f>ROUND(K222+mwreg!$G$26/100,3)</f>
        <v>0.14799999999999999</v>
      </c>
      <c r="AF222" s="102">
        <f t="shared" si="353"/>
        <v>0.13850000000000001</v>
      </c>
      <c r="AG222" s="102">
        <f t="shared" si="354"/>
        <v>0.1618</v>
      </c>
      <c r="AH222" s="102">
        <f t="shared" si="355"/>
        <v>0.16320000000000001</v>
      </c>
      <c r="AI222" s="21">
        <f t="shared" si="356"/>
        <v>180</v>
      </c>
      <c r="AJ222" s="21">
        <f t="shared" si="357"/>
        <v>60</v>
      </c>
      <c r="AK222" s="101">
        <f t="shared" si="358"/>
        <v>1E-3</v>
      </c>
      <c r="AL222" s="21">
        <f t="shared" si="359"/>
        <v>3</v>
      </c>
      <c r="AM222" s="21">
        <f t="shared" si="360"/>
        <v>1500</v>
      </c>
      <c r="AN222" s="101">
        <f t="shared" si="361"/>
        <v>0.1</v>
      </c>
      <c r="AO222" s="185" t="str">
        <f t="shared" si="362"/>
        <v>NaN</v>
      </c>
    </row>
    <row r="223" spans="1:41" x14ac:dyDescent="0.2">
      <c r="A223" s="3" t="s">
        <v>296</v>
      </c>
      <c r="B223" s="3" t="s">
        <v>296</v>
      </c>
      <c r="C223" s="219" t="s">
        <v>422</v>
      </c>
      <c r="D223" s="160">
        <v>59.719099999999997</v>
      </c>
      <c r="E223" s="160">
        <v>19.0687</v>
      </c>
      <c r="F223" s="20">
        <v>8195</v>
      </c>
      <c r="G223" s="18">
        <v>0</v>
      </c>
      <c r="H223" s="53">
        <v>10</v>
      </c>
      <c r="I223" s="121">
        <f t="shared" ref="I223:K223" si="397">ROUND(0.364*I211+0.636*I247,3)</f>
        <v>-0.56100000000000005</v>
      </c>
      <c r="J223" s="101">
        <f t="shared" si="397"/>
        <v>0.89500000000000002</v>
      </c>
      <c r="K223" s="101">
        <f t="shared" si="397"/>
        <v>4.1000000000000002E-2</v>
      </c>
      <c r="L223" s="102">
        <f t="shared" ref="L223:N223" si="398">ROUND(0.364*L211+0.636*L247,4)</f>
        <v>0.17369999999999999</v>
      </c>
      <c r="M223" s="102">
        <f t="shared" si="398"/>
        <v>0.19789999999999999</v>
      </c>
      <c r="N223" s="102">
        <f t="shared" si="398"/>
        <v>0.19989999999999999</v>
      </c>
      <c r="O223" s="21">
        <f t="shared" ref="O223:P223" si="399">ROUND(0.364*O211+0.636*O247,0)</f>
        <v>180</v>
      </c>
      <c r="P223" s="21">
        <f t="shared" si="399"/>
        <v>60</v>
      </c>
      <c r="Q223" s="101">
        <f t="shared" si="366"/>
        <v>1E-3</v>
      </c>
      <c r="R223" s="21">
        <f t="shared" ref="R223:S223" si="400">ROUND(0.364*R211+0.636*R247,0)</f>
        <v>3</v>
      </c>
      <c r="S223" s="21">
        <f t="shared" si="400"/>
        <v>1500</v>
      </c>
      <c r="T223" s="101">
        <f t="shared" si="368"/>
        <v>0.1</v>
      </c>
      <c r="U223" s="54" t="s">
        <v>282</v>
      </c>
      <c r="V223" s="35"/>
      <c r="W223" s="58" t="str">
        <f t="shared" si="347"/>
        <v>?</v>
      </c>
      <c r="X223" s="102">
        <f t="shared" si="348"/>
        <v>59.719099999999997</v>
      </c>
      <c r="Y223" s="102">
        <f t="shared" si="349"/>
        <v>19.0687</v>
      </c>
      <c r="Z223" s="21">
        <f t="shared" si="350"/>
        <v>8195</v>
      </c>
      <c r="AA223" s="44">
        <f t="shared" si="351"/>
        <v>0</v>
      </c>
      <c r="AB223" s="21">
        <f t="shared" si="352"/>
        <v>10</v>
      </c>
      <c r="AC223" s="121">
        <f>ROUND(I223+mwreg!$G$26/100,3)</f>
        <v>-0.47699999999999998</v>
      </c>
      <c r="AD223" s="101">
        <f>ROUND(J223+mwreg!$G$26/100,3)</f>
        <v>0.97899999999999998</v>
      </c>
      <c r="AE223" s="101">
        <f>ROUND(K223+mwreg!$G$26/100,3)</f>
        <v>0.125</v>
      </c>
      <c r="AF223" s="102">
        <f t="shared" si="353"/>
        <v>0.17369999999999999</v>
      </c>
      <c r="AG223" s="102">
        <f t="shared" si="354"/>
        <v>0.19789999999999999</v>
      </c>
      <c r="AH223" s="102">
        <f t="shared" si="355"/>
        <v>0.19989999999999999</v>
      </c>
      <c r="AI223" s="21">
        <f t="shared" si="356"/>
        <v>180</v>
      </c>
      <c r="AJ223" s="21">
        <f t="shared" si="357"/>
        <v>60</v>
      </c>
      <c r="AK223" s="101">
        <f t="shared" si="358"/>
        <v>1E-3</v>
      </c>
      <c r="AL223" s="21">
        <f t="shared" si="359"/>
        <v>3</v>
      </c>
      <c r="AM223" s="21">
        <f t="shared" si="360"/>
        <v>1500</v>
      </c>
      <c r="AN223" s="101">
        <f t="shared" si="361"/>
        <v>0.1</v>
      </c>
      <c r="AO223" s="185" t="str">
        <f t="shared" si="362"/>
        <v>NaN</v>
      </c>
    </row>
    <row r="224" spans="1:41" x14ac:dyDescent="0.2">
      <c r="A224" s="3" t="s">
        <v>296</v>
      </c>
      <c r="B224" s="3" t="s">
        <v>296</v>
      </c>
      <c r="C224" s="219" t="s">
        <v>422</v>
      </c>
      <c r="D224" s="160">
        <v>59.719099999999997</v>
      </c>
      <c r="E224" s="160">
        <v>19.0687</v>
      </c>
      <c r="F224" s="20">
        <v>8195</v>
      </c>
      <c r="G224" s="18">
        <v>0</v>
      </c>
      <c r="H224" s="220">
        <v>11</v>
      </c>
      <c r="I224" s="121">
        <f t="shared" ref="I224:K224" si="401">ROUND(0.364*I212+0.636*I248,3)</f>
        <v>-0.63800000000000001</v>
      </c>
      <c r="J224" s="101">
        <f t="shared" si="401"/>
        <v>0.89700000000000002</v>
      </c>
      <c r="K224" s="101">
        <f t="shared" si="401"/>
        <v>5.8000000000000003E-2</v>
      </c>
      <c r="L224" s="102">
        <f t="shared" ref="L224:N224" si="402">ROUND(0.364*L212+0.636*L248,4)</f>
        <v>0.19839999999999999</v>
      </c>
      <c r="M224" s="102">
        <f t="shared" si="402"/>
        <v>6.6699999999999995E-2</v>
      </c>
      <c r="N224" s="102">
        <f t="shared" si="402"/>
        <v>6.8199999999999997E-2</v>
      </c>
      <c r="O224" s="21">
        <f t="shared" ref="O224:P224" si="403">ROUND(0.364*O212+0.636*O248,0)</f>
        <v>180</v>
      </c>
      <c r="P224" s="21">
        <f t="shared" si="403"/>
        <v>60</v>
      </c>
      <c r="Q224" s="101">
        <f t="shared" si="366"/>
        <v>1E-3</v>
      </c>
      <c r="R224" s="21">
        <f t="shared" ref="R224:S224" si="404">ROUND(0.364*R212+0.636*R248,0)</f>
        <v>3</v>
      </c>
      <c r="S224" s="21">
        <f t="shared" si="404"/>
        <v>1500</v>
      </c>
      <c r="T224" s="101">
        <f t="shared" si="368"/>
        <v>0.1</v>
      </c>
      <c r="U224" s="54" t="s">
        <v>282</v>
      </c>
      <c r="V224" s="35"/>
      <c r="W224" s="58" t="str">
        <f t="shared" si="347"/>
        <v>?</v>
      </c>
      <c r="X224" s="102">
        <f t="shared" si="348"/>
        <v>59.719099999999997</v>
      </c>
      <c r="Y224" s="102">
        <f t="shared" si="349"/>
        <v>19.0687</v>
      </c>
      <c r="Z224" s="21">
        <f t="shared" si="350"/>
        <v>8195</v>
      </c>
      <c r="AA224" s="44">
        <f t="shared" si="351"/>
        <v>0</v>
      </c>
      <c r="AB224" s="21">
        <f t="shared" si="352"/>
        <v>11</v>
      </c>
      <c r="AC224" s="121">
        <f>ROUND(I224+mwreg!$G$26/100,3)</f>
        <v>-0.55400000000000005</v>
      </c>
      <c r="AD224" s="101">
        <f>ROUND(J224+mwreg!$G$26/100,3)</f>
        <v>0.98099999999999998</v>
      </c>
      <c r="AE224" s="101">
        <f>ROUND(K224+mwreg!$G$26/100,3)</f>
        <v>0.14199999999999999</v>
      </c>
      <c r="AF224" s="102">
        <f t="shared" si="353"/>
        <v>0.19839999999999999</v>
      </c>
      <c r="AG224" s="102">
        <f t="shared" si="354"/>
        <v>6.6699999999999995E-2</v>
      </c>
      <c r="AH224" s="102">
        <f t="shared" si="355"/>
        <v>6.8199999999999997E-2</v>
      </c>
      <c r="AI224" s="21">
        <f t="shared" si="356"/>
        <v>180</v>
      </c>
      <c r="AJ224" s="21">
        <f t="shared" si="357"/>
        <v>60</v>
      </c>
      <c r="AK224" s="101">
        <f t="shared" si="358"/>
        <v>1E-3</v>
      </c>
      <c r="AL224" s="21">
        <f t="shared" si="359"/>
        <v>3</v>
      </c>
      <c r="AM224" s="21">
        <f t="shared" si="360"/>
        <v>1500</v>
      </c>
      <c r="AN224" s="101">
        <f t="shared" si="361"/>
        <v>0.1</v>
      </c>
      <c r="AO224" s="185" t="str">
        <f t="shared" si="362"/>
        <v>NaN</v>
      </c>
    </row>
    <row r="225" spans="1:41" x14ac:dyDescent="0.2">
      <c r="A225" s="3" t="s">
        <v>296</v>
      </c>
      <c r="B225" s="3" t="s">
        <v>296</v>
      </c>
      <c r="C225" s="219" t="s">
        <v>422</v>
      </c>
      <c r="D225" s="160">
        <v>59.719099999999997</v>
      </c>
      <c r="E225" s="160">
        <v>19.0687</v>
      </c>
      <c r="F225" s="20">
        <v>8195</v>
      </c>
      <c r="G225" s="18">
        <v>0</v>
      </c>
      <c r="H225" s="53">
        <v>12</v>
      </c>
      <c r="I225" s="121">
        <f t="shared" ref="I225:K225" si="405">ROUND(0.364*I213+0.636*I249,3)</f>
        <v>-0.68300000000000005</v>
      </c>
      <c r="J225" s="101">
        <f t="shared" si="405"/>
        <v>1.093</v>
      </c>
      <c r="K225" s="101">
        <f t="shared" si="405"/>
        <v>0.124</v>
      </c>
      <c r="L225" s="102">
        <f t="shared" ref="L225:N225" si="406">ROUND(0.364*L213+0.636*L249,4)</f>
        <v>0.2152</v>
      </c>
      <c r="M225" s="102">
        <f t="shared" si="406"/>
        <v>0.12939999999999999</v>
      </c>
      <c r="N225" s="102">
        <f t="shared" si="406"/>
        <v>0.13089999999999999</v>
      </c>
      <c r="O225" s="21">
        <f t="shared" ref="O225:P225" si="407">ROUND(0.364*O213+0.636*O249,0)</f>
        <v>180</v>
      </c>
      <c r="P225" s="21">
        <f t="shared" si="407"/>
        <v>60</v>
      </c>
      <c r="Q225" s="101">
        <f t="shared" si="366"/>
        <v>1E-3</v>
      </c>
      <c r="R225" s="21">
        <f t="shared" ref="R225:S225" si="408">ROUND(0.364*R213+0.636*R249,0)</f>
        <v>3</v>
      </c>
      <c r="S225" s="21">
        <f t="shared" si="408"/>
        <v>1500</v>
      </c>
      <c r="T225" s="101">
        <f t="shared" si="368"/>
        <v>0.1</v>
      </c>
      <c r="U225" s="54" t="s">
        <v>282</v>
      </c>
      <c r="V225" s="35"/>
      <c r="W225" s="58" t="str">
        <f t="shared" si="347"/>
        <v>?</v>
      </c>
      <c r="X225" s="102">
        <f t="shared" si="348"/>
        <v>59.719099999999997</v>
      </c>
      <c r="Y225" s="102">
        <f t="shared" si="349"/>
        <v>19.0687</v>
      </c>
      <c r="Z225" s="21">
        <f t="shared" si="350"/>
        <v>8195</v>
      </c>
      <c r="AA225" s="44">
        <f t="shared" si="351"/>
        <v>0</v>
      </c>
      <c r="AB225" s="21">
        <f t="shared" si="352"/>
        <v>12</v>
      </c>
      <c r="AC225" s="121">
        <f>ROUND(I225+mwreg!$G$26/100,3)</f>
        <v>-0.59899999999999998</v>
      </c>
      <c r="AD225" s="101">
        <f>ROUND(J225+mwreg!$G$26/100,3)</f>
        <v>1.177</v>
      </c>
      <c r="AE225" s="101">
        <f>ROUND(K225+mwreg!$G$26/100,3)</f>
        <v>0.20799999999999999</v>
      </c>
      <c r="AF225" s="102">
        <f t="shared" si="353"/>
        <v>0.2152</v>
      </c>
      <c r="AG225" s="102">
        <f t="shared" si="354"/>
        <v>0.12939999999999999</v>
      </c>
      <c r="AH225" s="102">
        <f t="shared" si="355"/>
        <v>0.13089999999999999</v>
      </c>
      <c r="AI225" s="21">
        <f t="shared" si="356"/>
        <v>180</v>
      </c>
      <c r="AJ225" s="21">
        <f t="shared" si="357"/>
        <v>60</v>
      </c>
      <c r="AK225" s="101">
        <f t="shared" si="358"/>
        <v>1E-3</v>
      </c>
      <c r="AL225" s="21">
        <f t="shared" si="359"/>
        <v>3</v>
      </c>
      <c r="AM225" s="21">
        <f t="shared" si="360"/>
        <v>1500</v>
      </c>
      <c r="AN225" s="101">
        <f t="shared" si="361"/>
        <v>0.1</v>
      </c>
      <c r="AO225" s="185" t="str">
        <f t="shared" si="362"/>
        <v>NaN</v>
      </c>
    </row>
    <row r="226" spans="1:41" x14ac:dyDescent="0.2">
      <c r="A226" s="3" t="str">
        <f>stat_uppg!A27</f>
        <v>67/35154</v>
      </c>
      <c r="B226" s="3" t="str">
        <f>stat_uppg!B27</f>
        <v>LOUDDEN (SJÖV)</v>
      </c>
      <c r="C226" s="52">
        <v>35154</v>
      </c>
      <c r="D226" s="105">
        <v>59.342500000000001</v>
      </c>
      <c r="E226" s="105">
        <v>18.141300000000001</v>
      </c>
      <c r="F226" s="20">
        <v>8195</v>
      </c>
      <c r="G226" s="18">
        <v>0</v>
      </c>
      <c r="H226" s="53">
        <v>1</v>
      </c>
      <c r="I226" s="121">
        <f t="shared" ref="I226:K237" si="409">ROUND(0.052*I202+0.948*I238,3)</f>
        <v>-0.66</v>
      </c>
      <c r="J226" s="101">
        <f t="shared" si="409"/>
        <v>1.1819999999999999</v>
      </c>
      <c r="K226" s="101">
        <f t="shared" si="409"/>
        <v>0.14399999999999999</v>
      </c>
      <c r="L226" s="102">
        <f t="shared" ref="L226:N237" si="410">ROUND(0.052*L202+0.948*L238,4)</f>
        <v>0.25719999999999998</v>
      </c>
      <c r="M226" s="102">
        <f t="shared" si="410"/>
        <v>0.1021</v>
      </c>
      <c r="N226" s="102">
        <f t="shared" si="410"/>
        <v>0.1032</v>
      </c>
      <c r="O226" s="21">
        <f>ROUND(0.052*O202+0.948*O238,0)</f>
        <v>180</v>
      </c>
      <c r="P226" s="21">
        <f>ROUND(0.052*P202+0.948*P238,0)</f>
        <v>60</v>
      </c>
      <c r="Q226" s="101">
        <f t="shared" ref="Q226:Q237" si="411">ROUND(0.052*Q202+0.948*Q238,3)</f>
        <v>1E-3</v>
      </c>
      <c r="R226" s="21">
        <f>ROUND(0.052*R202+0.948*R238,0)</f>
        <v>3</v>
      </c>
      <c r="S226" s="21">
        <f>ROUND(0.052*S202+0.948*S238,0)</f>
        <v>1500</v>
      </c>
      <c r="T226" s="101">
        <f t="shared" ref="T226:T237" si="412">ROUND(0.052*T202+0.948*T238,3)</f>
        <v>0.1</v>
      </c>
      <c r="U226" s="54" t="s">
        <v>282</v>
      </c>
      <c r="V226" s="21"/>
      <c r="W226" s="58">
        <f t="shared" si="341"/>
        <v>35154</v>
      </c>
      <c r="X226" s="102">
        <f t="shared" si="342"/>
        <v>59.342500000000001</v>
      </c>
      <c r="Y226" s="102">
        <f t="shared" si="343"/>
        <v>18.141300000000001</v>
      </c>
      <c r="Z226" s="21">
        <f t="shared" si="344"/>
        <v>8195</v>
      </c>
      <c r="AA226" s="44">
        <f t="shared" si="345"/>
        <v>0</v>
      </c>
      <c r="AB226" s="21">
        <f t="shared" si="346"/>
        <v>1</v>
      </c>
      <c r="AC226" s="121">
        <f>ROUND(I226+mwreg!$G$27/100,3)</f>
        <v>-0.57599999999999996</v>
      </c>
      <c r="AD226" s="101">
        <f>ROUND(J226+mwreg!$G$27/100,3)</f>
        <v>1.266</v>
      </c>
      <c r="AE226" s="101">
        <f>ROUND(K226+mwreg!$G$27/100,3)</f>
        <v>0.22800000000000001</v>
      </c>
      <c r="AF226" s="102">
        <f t="shared" si="319"/>
        <v>0.25719999999999998</v>
      </c>
      <c r="AG226" s="102">
        <f t="shared" si="320"/>
        <v>0.1021</v>
      </c>
      <c r="AH226" s="102">
        <f t="shared" ref="AH226:AH277" si="413">N226</f>
        <v>0.1032</v>
      </c>
      <c r="AI226" s="21">
        <f t="shared" ref="AI226:AI277" si="414">O226</f>
        <v>180</v>
      </c>
      <c r="AJ226" s="21">
        <f t="shared" ref="AJ226:AJ277" si="415">P226</f>
        <v>60</v>
      </c>
      <c r="AK226" s="101">
        <f t="shared" ref="AK226:AK277" si="416">Q226</f>
        <v>1E-3</v>
      </c>
      <c r="AL226" s="21">
        <f t="shared" ref="AL226:AL277" si="417">R226</f>
        <v>3</v>
      </c>
      <c r="AM226" s="21">
        <f t="shared" ref="AM226:AM277" si="418">S226</f>
        <v>1500</v>
      </c>
      <c r="AN226" s="101">
        <f t="shared" ref="AN226:AN277" si="419">T226</f>
        <v>0.1</v>
      </c>
      <c r="AO226" s="185" t="str">
        <f t="shared" si="251"/>
        <v>NaN</v>
      </c>
    </row>
    <row r="227" spans="1:41" x14ac:dyDescent="0.2">
      <c r="A227" s="3" t="s">
        <v>296</v>
      </c>
      <c r="B227" s="3" t="s">
        <v>296</v>
      </c>
      <c r="C227" s="52">
        <v>35154</v>
      </c>
      <c r="D227" s="105">
        <v>59.342500000000001</v>
      </c>
      <c r="E227" s="105">
        <v>18.141300000000001</v>
      </c>
      <c r="F227" s="20">
        <v>8195</v>
      </c>
      <c r="G227" s="18">
        <v>0</v>
      </c>
      <c r="H227" s="53">
        <v>2</v>
      </c>
      <c r="I227" s="121">
        <f t="shared" si="409"/>
        <v>-0.66800000000000004</v>
      </c>
      <c r="J227" s="101">
        <f t="shared" si="409"/>
        <v>1.113</v>
      </c>
      <c r="K227" s="101">
        <f t="shared" si="409"/>
        <v>0.09</v>
      </c>
      <c r="L227" s="102">
        <f t="shared" si="410"/>
        <v>0.28789999999999999</v>
      </c>
      <c r="M227" s="102">
        <f t="shared" si="410"/>
        <v>7.6399999999999996E-2</v>
      </c>
      <c r="N227" s="102">
        <f t="shared" si="410"/>
        <v>7.7399999999999997E-2</v>
      </c>
      <c r="O227" s="21">
        <f t="shared" ref="O227:P227" si="420">ROUND(0.052*O203+0.948*O239,0)</f>
        <v>180</v>
      </c>
      <c r="P227" s="21">
        <f t="shared" si="420"/>
        <v>60</v>
      </c>
      <c r="Q227" s="101">
        <f t="shared" si="411"/>
        <v>1E-3</v>
      </c>
      <c r="R227" s="21">
        <f t="shared" ref="R227:S227" si="421">ROUND(0.052*R203+0.948*R239,0)</f>
        <v>3</v>
      </c>
      <c r="S227" s="21">
        <f t="shared" si="421"/>
        <v>1500</v>
      </c>
      <c r="T227" s="101">
        <f t="shared" si="412"/>
        <v>0.1</v>
      </c>
      <c r="U227" s="54" t="s">
        <v>282</v>
      </c>
      <c r="V227" s="21"/>
      <c r="W227" s="58">
        <f t="shared" si="341"/>
        <v>35154</v>
      </c>
      <c r="X227" s="102">
        <f t="shared" si="342"/>
        <v>59.342500000000001</v>
      </c>
      <c r="Y227" s="102">
        <f t="shared" si="343"/>
        <v>18.141300000000001</v>
      </c>
      <c r="Z227" s="21">
        <f t="shared" si="344"/>
        <v>8195</v>
      </c>
      <c r="AA227" s="44">
        <f t="shared" si="345"/>
        <v>0</v>
      </c>
      <c r="AB227" s="21">
        <f t="shared" si="346"/>
        <v>2</v>
      </c>
      <c r="AC227" s="121">
        <f>ROUND(I227+mwreg!$G$27/100,3)</f>
        <v>-0.58399999999999996</v>
      </c>
      <c r="AD227" s="101">
        <f>ROUND(J227+mwreg!$G$27/100,3)</f>
        <v>1.1970000000000001</v>
      </c>
      <c r="AE227" s="101">
        <f>ROUND(K227+mwreg!$G$27/100,3)</f>
        <v>0.17399999999999999</v>
      </c>
      <c r="AF227" s="102">
        <f t="shared" si="319"/>
        <v>0.28789999999999999</v>
      </c>
      <c r="AG227" s="102">
        <f t="shared" si="320"/>
        <v>7.6399999999999996E-2</v>
      </c>
      <c r="AH227" s="102">
        <f t="shared" si="413"/>
        <v>7.7399999999999997E-2</v>
      </c>
      <c r="AI227" s="21">
        <f t="shared" si="414"/>
        <v>180</v>
      </c>
      <c r="AJ227" s="21">
        <f t="shared" si="415"/>
        <v>60</v>
      </c>
      <c r="AK227" s="101">
        <f t="shared" si="416"/>
        <v>1E-3</v>
      </c>
      <c r="AL227" s="21">
        <f t="shared" si="417"/>
        <v>3</v>
      </c>
      <c r="AM227" s="21">
        <f t="shared" si="418"/>
        <v>1500</v>
      </c>
      <c r="AN227" s="101">
        <f t="shared" si="419"/>
        <v>0.1</v>
      </c>
      <c r="AO227" s="185" t="str">
        <f t="shared" si="251"/>
        <v>NaN</v>
      </c>
    </row>
    <row r="228" spans="1:41" x14ac:dyDescent="0.2">
      <c r="A228" s="3" t="s">
        <v>296</v>
      </c>
      <c r="B228" s="3" t="s">
        <v>296</v>
      </c>
      <c r="C228" s="52">
        <v>35154</v>
      </c>
      <c r="D228" s="105">
        <v>59.342500000000001</v>
      </c>
      <c r="E228" s="105">
        <v>18.141300000000001</v>
      </c>
      <c r="F228" s="20">
        <v>8195</v>
      </c>
      <c r="G228" s="18">
        <v>0</v>
      </c>
      <c r="H228" s="53">
        <v>3</v>
      </c>
      <c r="I228" s="121">
        <f t="shared" si="409"/>
        <v>-0.69199999999999995</v>
      </c>
      <c r="J228" s="101">
        <f t="shared" si="409"/>
        <v>0.85</v>
      </c>
      <c r="K228" s="101">
        <f t="shared" si="409"/>
        <v>-2.4E-2</v>
      </c>
      <c r="L228" s="102">
        <f t="shared" si="410"/>
        <v>0.24260000000000001</v>
      </c>
      <c r="M228" s="102">
        <f t="shared" si="410"/>
        <v>1.7299999999999999E-2</v>
      </c>
      <c r="N228" s="102">
        <f t="shared" si="410"/>
        <v>1.8100000000000002E-2</v>
      </c>
      <c r="O228" s="21">
        <f t="shared" ref="O228:P228" si="422">ROUND(0.052*O204+0.948*O240,0)</f>
        <v>180</v>
      </c>
      <c r="P228" s="21">
        <f t="shared" si="422"/>
        <v>60</v>
      </c>
      <c r="Q228" s="101">
        <f t="shared" si="411"/>
        <v>1E-3</v>
      </c>
      <c r="R228" s="21">
        <f t="shared" ref="R228:S228" si="423">ROUND(0.052*R204+0.948*R240,0)</f>
        <v>3</v>
      </c>
      <c r="S228" s="21">
        <f t="shared" si="423"/>
        <v>1500</v>
      </c>
      <c r="T228" s="101">
        <f t="shared" si="412"/>
        <v>0.1</v>
      </c>
      <c r="U228" s="54" t="s">
        <v>282</v>
      </c>
      <c r="V228" s="21"/>
      <c r="W228" s="58">
        <f t="shared" si="341"/>
        <v>35154</v>
      </c>
      <c r="X228" s="102">
        <f t="shared" si="342"/>
        <v>59.342500000000001</v>
      </c>
      <c r="Y228" s="102">
        <f t="shared" si="343"/>
        <v>18.141300000000001</v>
      </c>
      <c r="Z228" s="21">
        <f t="shared" si="344"/>
        <v>8195</v>
      </c>
      <c r="AA228" s="44">
        <f t="shared" si="345"/>
        <v>0</v>
      </c>
      <c r="AB228" s="21">
        <f t="shared" si="346"/>
        <v>3</v>
      </c>
      <c r="AC228" s="121">
        <f>ROUND(I228+mwreg!$G$27/100,3)</f>
        <v>-0.60799999999999998</v>
      </c>
      <c r="AD228" s="101">
        <f>ROUND(J228+mwreg!$G$27/100,3)</f>
        <v>0.93400000000000005</v>
      </c>
      <c r="AE228" s="101">
        <f>ROUND(K228+mwreg!$G$27/100,3)</f>
        <v>0.06</v>
      </c>
      <c r="AF228" s="102">
        <f t="shared" si="319"/>
        <v>0.24260000000000001</v>
      </c>
      <c r="AG228" s="102">
        <f t="shared" si="320"/>
        <v>1.7299999999999999E-2</v>
      </c>
      <c r="AH228" s="102">
        <f t="shared" si="413"/>
        <v>1.8100000000000002E-2</v>
      </c>
      <c r="AI228" s="21">
        <f t="shared" si="414"/>
        <v>180</v>
      </c>
      <c r="AJ228" s="21">
        <f t="shared" si="415"/>
        <v>60</v>
      </c>
      <c r="AK228" s="101">
        <f t="shared" si="416"/>
        <v>1E-3</v>
      </c>
      <c r="AL228" s="21">
        <f t="shared" si="417"/>
        <v>3</v>
      </c>
      <c r="AM228" s="21">
        <f t="shared" si="418"/>
        <v>1500</v>
      </c>
      <c r="AN228" s="101">
        <f t="shared" si="419"/>
        <v>0.1</v>
      </c>
      <c r="AO228" s="185" t="str">
        <f t="shared" si="251"/>
        <v>NaN</v>
      </c>
    </row>
    <row r="229" spans="1:41" x14ac:dyDescent="0.2">
      <c r="A229" s="3" t="s">
        <v>296</v>
      </c>
      <c r="B229" s="3" t="s">
        <v>296</v>
      </c>
      <c r="C229" s="52">
        <v>35154</v>
      </c>
      <c r="D229" s="105">
        <v>59.342500000000001</v>
      </c>
      <c r="E229" s="105">
        <v>18.141300000000001</v>
      </c>
      <c r="F229" s="20">
        <v>8195</v>
      </c>
      <c r="G229" s="18">
        <v>0</v>
      </c>
      <c r="H229" s="53">
        <v>4</v>
      </c>
      <c r="I229" s="121">
        <f t="shared" si="409"/>
        <v>-0.63600000000000001</v>
      </c>
      <c r="J229" s="101">
        <f t="shared" si="409"/>
        <v>0.746</v>
      </c>
      <c r="K229" s="101">
        <f t="shared" si="409"/>
        <v>-7.0000000000000007E-2</v>
      </c>
      <c r="L229" s="102">
        <f t="shared" si="410"/>
        <v>0.1547</v>
      </c>
      <c r="M229" s="102">
        <f t="shared" si="410"/>
        <v>2.46E-2</v>
      </c>
      <c r="N229" s="102">
        <f t="shared" si="410"/>
        <v>2.5600000000000001E-2</v>
      </c>
      <c r="O229" s="21">
        <f t="shared" ref="O229:P229" si="424">ROUND(0.052*O205+0.948*O241,0)</f>
        <v>180</v>
      </c>
      <c r="P229" s="21">
        <f t="shared" si="424"/>
        <v>60</v>
      </c>
      <c r="Q229" s="101">
        <f t="shared" si="411"/>
        <v>1E-3</v>
      </c>
      <c r="R229" s="21">
        <f t="shared" ref="R229:S229" si="425">ROUND(0.052*R205+0.948*R241,0)</f>
        <v>3</v>
      </c>
      <c r="S229" s="21">
        <f t="shared" si="425"/>
        <v>1500</v>
      </c>
      <c r="T229" s="101">
        <f t="shared" si="412"/>
        <v>0.1</v>
      </c>
      <c r="U229" s="54" t="s">
        <v>282</v>
      </c>
      <c r="V229" s="21"/>
      <c r="W229" s="58">
        <f t="shared" si="341"/>
        <v>35154</v>
      </c>
      <c r="X229" s="102">
        <f t="shared" si="342"/>
        <v>59.342500000000001</v>
      </c>
      <c r="Y229" s="102">
        <f t="shared" si="343"/>
        <v>18.141300000000001</v>
      </c>
      <c r="Z229" s="21">
        <f t="shared" si="344"/>
        <v>8195</v>
      </c>
      <c r="AA229" s="44">
        <f t="shared" si="345"/>
        <v>0</v>
      </c>
      <c r="AB229" s="21">
        <f t="shared" si="346"/>
        <v>4</v>
      </c>
      <c r="AC229" s="121">
        <f>ROUND(I229+mwreg!$G$27/100,3)</f>
        <v>-0.55200000000000005</v>
      </c>
      <c r="AD229" s="101">
        <f>ROUND(J229+mwreg!$G$27/100,3)</f>
        <v>0.83</v>
      </c>
      <c r="AE229" s="101">
        <f>ROUND(K229+mwreg!$G$27/100,3)</f>
        <v>1.4E-2</v>
      </c>
      <c r="AF229" s="102">
        <f t="shared" si="319"/>
        <v>0.1547</v>
      </c>
      <c r="AG229" s="102">
        <f t="shared" si="320"/>
        <v>2.46E-2</v>
      </c>
      <c r="AH229" s="102">
        <f t="shared" si="413"/>
        <v>2.5600000000000001E-2</v>
      </c>
      <c r="AI229" s="21">
        <f t="shared" si="414"/>
        <v>180</v>
      </c>
      <c r="AJ229" s="21">
        <f t="shared" si="415"/>
        <v>60</v>
      </c>
      <c r="AK229" s="101">
        <f t="shared" si="416"/>
        <v>1E-3</v>
      </c>
      <c r="AL229" s="21">
        <f t="shared" si="417"/>
        <v>3</v>
      </c>
      <c r="AM229" s="21">
        <f t="shared" si="418"/>
        <v>1500</v>
      </c>
      <c r="AN229" s="101">
        <f t="shared" si="419"/>
        <v>0.1</v>
      </c>
      <c r="AO229" s="185" t="str">
        <f t="shared" si="251"/>
        <v>NaN</v>
      </c>
    </row>
    <row r="230" spans="1:41" x14ac:dyDescent="0.2">
      <c r="A230" s="3" t="s">
        <v>296</v>
      </c>
      <c r="B230" s="3" t="s">
        <v>296</v>
      </c>
      <c r="C230" s="52">
        <v>35154</v>
      </c>
      <c r="D230" s="105">
        <v>59.342500000000001</v>
      </c>
      <c r="E230" s="105">
        <v>18.141300000000001</v>
      </c>
      <c r="F230" s="20">
        <v>8195</v>
      </c>
      <c r="G230" s="18">
        <v>0</v>
      </c>
      <c r="H230" s="53">
        <v>5</v>
      </c>
      <c r="I230" s="121">
        <f t="shared" si="409"/>
        <v>-0.55700000000000005</v>
      </c>
      <c r="J230" s="101">
        <f t="shared" si="409"/>
        <v>0.40100000000000002</v>
      </c>
      <c r="K230" s="101">
        <f t="shared" si="409"/>
        <v>-7.2999999999999995E-2</v>
      </c>
      <c r="L230" s="102">
        <f t="shared" si="410"/>
        <v>0.13370000000000001</v>
      </c>
      <c r="M230" s="102">
        <f t="shared" si="410"/>
        <v>6.7299999999999999E-2</v>
      </c>
      <c r="N230" s="102">
        <f t="shared" si="410"/>
        <v>6.8199999999999997E-2</v>
      </c>
      <c r="O230" s="21">
        <f t="shared" ref="O230:P230" si="426">ROUND(0.052*O206+0.948*O242,0)</f>
        <v>180</v>
      </c>
      <c r="P230" s="21">
        <f t="shared" si="426"/>
        <v>60</v>
      </c>
      <c r="Q230" s="101">
        <f t="shared" si="411"/>
        <v>1E-3</v>
      </c>
      <c r="R230" s="21">
        <f t="shared" ref="R230:S230" si="427">ROUND(0.052*R206+0.948*R242,0)</f>
        <v>3</v>
      </c>
      <c r="S230" s="21">
        <f t="shared" si="427"/>
        <v>1500</v>
      </c>
      <c r="T230" s="101">
        <f t="shared" si="412"/>
        <v>0.1</v>
      </c>
      <c r="U230" s="54" t="s">
        <v>282</v>
      </c>
      <c r="V230" s="21"/>
      <c r="W230" s="58">
        <f t="shared" si="341"/>
        <v>35154</v>
      </c>
      <c r="X230" s="102">
        <f t="shared" si="342"/>
        <v>59.342500000000001</v>
      </c>
      <c r="Y230" s="102">
        <f t="shared" si="343"/>
        <v>18.141300000000001</v>
      </c>
      <c r="Z230" s="21">
        <f t="shared" si="344"/>
        <v>8195</v>
      </c>
      <c r="AA230" s="44">
        <f t="shared" si="345"/>
        <v>0</v>
      </c>
      <c r="AB230" s="21">
        <f t="shared" si="346"/>
        <v>5</v>
      </c>
      <c r="AC230" s="121">
        <f>ROUND(I230+mwreg!$G$27/100,3)</f>
        <v>-0.47299999999999998</v>
      </c>
      <c r="AD230" s="101">
        <f>ROUND(J230+mwreg!$G$27/100,3)</f>
        <v>0.48499999999999999</v>
      </c>
      <c r="AE230" s="101">
        <f>ROUND(K230+mwreg!$G$27/100,3)</f>
        <v>1.0999999999999999E-2</v>
      </c>
      <c r="AF230" s="102">
        <f t="shared" si="319"/>
        <v>0.13370000000000001</v>
      </c>
      <c r="AG230" s="102">
        <f t="shared" si="320"/>
        <v>6.7299999999999999E-2</v>
      </c>
      <c r="AH230" s="102">
        <f t="shared" si="413"/>
        <v>6.8199999999999997E-2</v>
      </c>
      <c r="AI230" s="21">
        <f t="shared" si="414"/>
        <v>180</v>
      </c>
      <c r="AJ230" s="21">
        <f t="shared" si="415"/>
        <v>60</v>
      </c>
      <c r="AK230" s="101">
        <f t="shared" si="416"/>
        <v>1E-3</v>
      </c>
      <c r="AL230" s="21">
        <f t="shared" si="417"/>
        <v>3</v>
      </c>
      <c r="AM230" s="21">
        <f t="shared" si="418"/>
        <v>1500</v>
      </c>
      <c r="AN230" s="101">
        <f t="shared" si="419"/>
        <v>0.1</v>
      </c>
      <c r="AO230" s="185" t="str">
        <f t="shared" si="251"/>
        <v>NaN</v>
      </c>
    </row>
    <row r="231" spans="1:41" x14ac:dyDescent="0.2">
      <c r="A231" s="3" t="s">
        <v>296</v>
      </c>
      <c r="B231" s="3" t="s">
        <v>296</v>
      </c>
      <c r="C231" s="52">
        <v>35154</v>
      </c>
      <c r="D231" s="105">
        <v>59.342500000000001</v>
      </c>
      <c r="E231" s="105">
        <v>18.141300000000001</v>
      </c>
      <c r="F231" s="20">
        <v>8195</v>
      </c>
      <c r="G231" s="18">
        <v>0</v>
      </c>
      <c r="H231" s="53">
        <v>6</v>
      </c>
      <c r="I231" s="121">
        <f t="shared" si="409"/>
        <v>-0.42199999999999999</v>
      </c>
      <c r="J231" s="101">
        <f t="shared" si="409"/>
        <v>0.46200000000000002</v>
      </c>
      <c r="K231" s="101">
        <f t="shared" si="409"/>
        <v>-4.1000000000000002E-2</v>
      </c>
      <c r="L231" s="102">
        <f t="shared" si="410"/>
        <v>0.11169999999999999</v>
      </c>
      <c r="M231" s="102">
        <f t="shared" si="410"/>
        <v>6.7100000000000007E-2</v>
      </c>
      <c r="N231" s="102">
        <f t="shared" si="410"/>
        <v>6.8099999999999994E-2</v>
      </c>
      <c r="O231" s="21">
        <f t="shared" ref="O231:P231" si="428">ROUND(0.052*O207+0.948*O243,0)</f>
        <v>180</v>
      </c>
      <c r="P231" s="21">
        <f t="shared" si="428"/>
        <v>60</v>
      </c>
      <c r="Q231" s="101">
        <f t="shared" si="411"/>
        <v>1E-3</v>
      </c>
      <c r="R231" s="21">
        <f t="shared" ref="R231:S231" si="429">ROUND(0.052*R207+0.948*R243,0)</f>
        <v>3</v>
      </c>
      <c r="S231" s="21">
        <f t="shared" si="429"/>
        <v>1500</v>
      </c>
      <c r="T231" s="101">
        <f t="shared" si="412"/>
        <v>0.1</v>
      </c>
      <c r="U231" s="54" t="s">
        <v>282</v>
      </c>
      <c r="V231" s="21"/>
      <c r="W231" s="58">
        <f t="shared" si="341"/>
        <v>35154</v>
      </c>
      <c r="X231" s="102">
        <f t="shared" si="342"/>
        <v>59.342500000000001</v>
      </c>
      <c r="Y231" s="102">
        <f t="shared" si="343"/>
        <v>18.141300000000001</v>
      </c>
      <c r="Z231" s="21">
        <f t="shared" si="344"/>
        <v>8195</v>
      </c>
      <c r="AA231" s="44">
        <f t="shared" si="345"/>
        <v>0</v>
      </c>
      <c r="AB231" s="21">
        <f t="shared" si="346"/>
        <v>6</v>
      </c>
      <c r="AC231" s="121">
        <f>ROUND(I231+mwreg!$G$27/100,3)</f>
        <v>-0.33800000000000002</v>
      </c>
      <c r="AD231" s="101">
        <f>ROUND(J231+mwreg!$G$27/100,3)</f>
        <v>0.54600000000000004</v>
      </c>
      <c r="AE231" s="101">
        <f>ROUND(K231+mwreg!$G$27/100,3)</f>
        <v>4.2999999999999997E-2</v>
      </c>
      <c r="AF231" s="102">
        <f t="shared" si="319"/>
        <v>0.11169999999999999</v>
      </c>
      <c r="AG231" s="102">
        <f t="shared" si="320"/>
        <v>6.7100000000000007E-2</v>
      </c>
      <c r="AH231" s="102">
        <f t="shared" si="413"/>
        <v>6.8099999999999994E-2</v>
      </c>
      <c r="AI231" s="21">
        <f t="shared" si="414"/>
        <v>180</v>
      </c>
      <c r="AJ231" s="21">
        <f t="shared" si="415"/>
        <v>60</v>
      </c>
      <c r="AK231" s="101">
        <f t="shared" si="416"/>
        <v>1E-3</v>
      </c>
      <c r="AL231" s="21">
        <f t="shared" si="417"/>
        <v>3</v>
      </c>
      <c r="AM231" s="21">
        <f t="shared" si="418"/>
        <v>1500</v>
      </c>
      <c r="AN231" s="101">
        <f t="shared" si="419"/>
        <v>0.1</v>
      </c>
      <c r="AO231" s="185" t="str">
        <f t="shared" si="251"/>
        <v>NaN</v>
      </c>
    </row>
    <row r="232" spans="1:41" x14ac:dyDescent="0.2">
      <c r="A232" s="3" t="s">
        <v>296</v>
      </c>
      <c r="B232" s="3" t="s">
        <v>296</v>
      </c>
      <c r="C232" s="52">
        <v>35154</v>
      </c>
      <c r="D232" s="105">
        <v>59.342500000000001</v>
      </c>
      <c r="E232" s="105">
        <v>18.141300000000001</v>
      </c>
      <c r="F232" s="20">
        <v>8195</v>
      </c>
      <c r="G232" s="18">
        <v>0</v>
      </c>
      <c r="H232" s="53">
        <v>7</v>
      </c>
      <c r="I232" s="121">
        <f t="shared" si="409"/>
        <v>-0.32100000000000001</v>
      </c>
      <c r="J232" s="101">
        <f t="shared" si="409"/>
        <v>0.48399999999999999</v>
      </c>
      <c r="K232" s="101">
        <f t="shared" si="409"/>
        <v>6.6000000000000003E-2</v>
      </c>
      <c r="L232" s="102">
        <f t="shared" si="410"/>
        <v>0.1115</v>
      </c>
      <c r="M232" s="102">
        <f t="shared" si="410"/>
        <v>1.54E-2</v>
      </c>
      <c r="N232" s="102">
        <f t="shared" si="410"/>
        <v>1.61E-2</v>
      </c>
      <c r="O232" s="21">
        <f t="shared" ref="O232:P232" si="430">ROUND(0.052*O208+0.948*O244,0)</f>
        <v>180</v>
      </c>
      <c r="P232" s="21">
        <f t="shared" si="430"/>
        <v>60</v>
      </c>
      <c r="Q232" s="101">
        <f t="shared" si="411"/>
        <v>1E-3</v>
      </c>
      <c r="R232" s="21">
        <f t="shared" ref="R232:S232" si="431">ROUND(0.052*R208+0.948*R244,0)</f>
        <v>3</v>
      </c>
      <c r="S232" s="21">
        <f t="shared" si="431"/>
        <v>1500</v>
      </c>
      <c r="T232" s="101">
        <f t="shared" si="412"/>
        <v>0.1</v>
      </c>
      <c r="U232" s="54" t="s">
        <v>282</v>
      </c>
      <c r="V232" s="21"/>
      <c r="W232" s="58">
        <f t="shared" si="341"/>
        <v>35154</v>
      </c>
      <c r="X232" s="102">
        <f t="shared" si="342"/>
        <v>59.342500000000001</v>
      </c>
      <c r="Y232" s="102">
        <f t="shared" si="343"/>
        <v>18.141300000000001</v>
      </c>
      <c r="Z232" s="21">
        <f t="shared" si="344"/>
        <v>8195</v>
      </c>
      <c r="AA232" s="44">
        <f t="shared" si="345"/>
        <v>0</v>
      </c>
      <c r="AB232" s="21">
        <f t="shared" si="346"/>
        <v>7</v>
      </c>
      <c r="AC232" s="121">
        <f>ROUND(I232+mwreg!$G$27/100,3)</f>
        <v>-0.23699999999999999</v>
      </c>
      <c r="AD232" s="101">
        <f>ROUND(J232+mwreg!$G$27/100,3)</f>
        <v>0.56799999999999995</v>
      </c>
      <c r="AE232" s="101">
        <f>ROUND(K232+mwreg!$G$27/100,3)</f>
        <v>0.15</v>
      </c>
      <c r="AF232" s="102">
        <f t="shared" si="319"/>
        <v>0.1115</v>
      </c>
      <c r="AG232" s="102">
        <f t="shared" si="320"/>
        <v>1.54E-2</v>
      </c>
      <c r="AH232" s="102">
        <f t="shared" si="413"/>
        <v>1.61E-2</v>
      </c>
      <c r="AI232" s="21">
        <f t="shared" si="414"/>
        <v>180</v>
      </c>
      <c r="AJ232" s="21">
        <f t="shared" si="415"/>
        <v>60</v>
      </c>
      <c r="AK232" s="101">
        <f t="shared" si="416"/>
        <v>1E-3</v>
      </c>
      <c r="AL232" s="21">
        <f t="shared" si="417"/>
        <v>3</v>
      </c>
      <c r="AM232" s="21">
        <f t="shared" si="418"/>
        <v>1500</v>
      </c>
      <c r="AN232" s="101">
        <f t="shared" si="419"/>
        <v>0.1</v>
      </c>
      <c r="AO232" s="185" t="str">
        <f t="shared" si="251"/>
        <v>NaN</v>
      </c>
    </row>
    <row r="233" spans="1:41" x14ac:dyDescent="0.2">
      <c r="A233" s="3" t="s">
        <v>296</v>
      </c>
      <c r="B233" s="3" t="s">
        <v>296</v>
      </c>
      <c r="C233" s="52">
        <v>35154</v>
      </c>
      <c r="D233" s="105">
        <v>59.342500000000001</v>
      </c>
      <c r="E233" s="105">
        <v>18.141300000000001</v>
      </c>
      <c r="F233" s="20">
        <v>8195</v>
      </c>
      <c r="G233" s="18">
        <v>0</v>
      </c>
      <c r="H233" s="53">
        <v>8</v>
      </c>
      <c r="I233" s="121">
        <f t="shared" si="409"/>
        <v>-0.36799999999999999</v>
      </c>
      <c r="J233" s="101">
        <f t="shared" si="409"/>
        <v>0.60499999999999998</v>
      </c>
      <c r="K233" s="101">
        <f t="shared" si="409"/>
        <v>2.8000000000000001E-2</v>
      </c>
      <c r="L233" s="102">
        <f t="shared" si="410"/>
        <v>0.11600000000000001</v>
      </c>
      <c r="M233" s="102">
        <f t="shared" si="410"/>
        <v>4.7899999999999998E-2</v>
      </c>
      <c r="N233" s="102">
        <f t="shared" si="410"/>
        <v>4.87E-2</v>
      </c>
      <c r="O233" s="21">
        <f t="shared" ref="O233:P233" si="432">ROUND(0.052*O209+0.948*O245,0)</f>
        <v>180</v>
      </c>
      <c r="P233" s="21">
        <f t="shared" si="432"/>
        <v>60</v>
      </c>
      <c r="Q233" s="101">
        <f t="shared" si="411"/>
        <v>1E-3</v>
      </c>
      <c r="R233" s="21">
        <f t="shared" ref="R233:S233" si="433">ROUND(0.052*R209+0.948*R245,0)</f>
        <v>3</v>
      </c>
      <c r="S233" s="21">
        <f t="shared" si="433"/>
        <v>1500</v>
      </c>
      <c r="T233" s="101">
        <f t="shared" si="412"/>
        <v>0.1</v>
      </c>
      <c r="U233" s="54" t="s">
        <v>282</v>
      </c>
      <c r="V233" s="21"/>
      <c r="W233" s="58">
        <f t="shared" si="341"/>
        <v>35154</v>
      </c>
      <c r="X233" s="102">
        <f t="shared" si="342"/>
        <v>59.342500000000001</v>
      </c>
      <c r="Y233" s="102">
        <f t="shared" si="343"/>
        <v>18.141300000000001</v>
      </c>
      <c r="Z233" s="21">
        <f t="shared" si="344"/>
        <v>8195</v>
      </c>
      <c r="AA233" s="44">
        <f t="shared" si="345"/>
        <v>0</v>
      </c>
      <c r="AB233" s="21">
        <f t="shared" si="346"/>
        <v>8</v>
      </c>
      <c r="AC233" s="121">
        <f>ROUND(I233+mwreg!$G$27/100,3)</f>
        <v>-0.28399999999999997</v>
      </c>
      <c r="AD233" s="101">
        <f>ROUND(J233+mwreg!$G$27/100,3)</f>
        <v>0.68899999999999995</v>
      </c>
      <c r="AE233" s="101">
        <f>ROUND(K233+mwreg!$G$27/100,3)</f>
        <v>0.112</v>
      </c>
      <c r="AF233" s="102">
        <f t="shared" si="319"/>
        <v>0.11600000000000001</v>
      </c>
      <c r="AG233" s="102">
        <f t="shared" si="320"/>
        <v>4.7899999999999998E-2</v>
      </c>
      <c r="AH233" s="102">
        <f t="shared" si="413"/>
        <v>4.87E-2</v>
      </c>
      <c r="AI233" s="21">
        <f t="shared" si="414"/>
        <v>180</v>
      </c>
      <c r="AJ233" s="21">
        <f t="shared" si="415"/>
        <v>60</v>
      </c>
      <c r="AK233" s="101">
        <f t="shared" si="416"/>
        <v>1E-3</v>
      </c>
      <c r="AL233" s="21">
        <f t="shared" si="417"/>
        <v>3</v>
      </c>
      <c r="AM233" s="21">
        <f t="shared" si="418"/>
        <v>1500</v>
      </c>
      <c r="AN233" s="101">
        <f t="shared" si="419"/>
        <v>0.1</v>
      </c>
      <c r="AO233" s="185" t="str">
        <f t="shared" si="251"/>
        <v>NaN</v>
      </c>
    </row>
    <row r="234" spans="1:41" x14ac:dyDescent="0.2">
      <c r="A234" s="3" t="s">
        <v>296</v>
      </c>
      <c r="B234" s="3" t="s">
        <v>296</v>
      </c>
      <c r="C234" s="52">
        <v>35154</v>
      </c>
      <c r="D234" s="105">
        <v>59.342500000000001</v>
      </c>
      <c r="E234" s="105">
        <v>18.141300000000001</v>
      </c>
      <c r="F234" s="20">
        <v>8195</v>
      </c>
      <c r="G234" s="18">
        <v>0</v>
      </c>
      <c r="H234" s="53">
        <v>9</v>
      </c>
      <c r="I234" s="121">
        <f t="shared" si="409"/>
        <v>-0.47099999999999997</v>
      </c>
      <c r="J234" s="101">
        <f t="shared" si="409"/>
        <v>0.67</v>
      </c>
      <c r="K234" s="101">
        <f t="shared" si="409"/>
        <v>6.8000000000000005E-2</v>
      </c>
      <c r="L234" s="102">
        <f t="shared" si="410"/>
        <v>0.13469999999999999</v>
      </c>
      <c r="M234" s="102">
        <f t="shared" si="410"/>
        <v>0.2276</v>
      </c>
      <c r="N234" s="102">
        <f t="shared" si="410"/>
        <v>0.22900000000000001</v>
      </c>
      <c r="O234" s="21">
        <f t="shared" ref="O234:P234" si="434">ROUND(0.052*O210+0.948*O246,0)</f>
        <v>180</v>
      </c>
      <c r="P234" s="21">
        <f t="shared" si="434"/>
        <v>60</v>
      </c>
      <c r="Q234" s="101">
        <f t="shared" si="411"/>
        <v>1E-3</v>
      </c>
      <c r="R234" s="21">
        <f t="shared" ref="R234:S234" si="435">ROUND(0.052*R210+0.948*R246,0)</f>
        <v>3</v>
      </c>
      <c r="S234" s="21">
        <f t="shared" si="435"/>
        <v>1500</v>
      </c>
      <c r="T234" s="101">
        <f t="shared" si="412"/>
        <v>0.1</v>
      </c>
      <c r="U234" s="54" t="s">
        <v>282</v>
      </c>
      <c r="V234" s="21"/>
      <c r="W234" s="58">
        <f t="shared" si="341"/>
        <v>35154</v>
      </c>
      <c r="X234" s="102">
        <f t="shared" si="342"/>
        <v>59.342500000000001</v>
      </c>
      <c r="Y234" s="102">
        <f t="shared" si="343"/>
        <v>18.141300000000001</v>
      </c>
      <c r="Z234" s="21">
        <f t="shared" si="344"/>
        <v>8195</v>
      </c>
      <c r="AA234" s="44">
        <f t="shared" si="345"/>
        <v>0</v>
      </c>
      <c r="AB234" s="21">
        <f t="shared" si="346"/>
        <v>9</v>
      </c>
      <c r="AC234" s="121">
        <f>ROUND(I234+mwreg!$G$27/100,3)</f>
        <v>-0.38700000000000001</v>
      </c>
      <c r="AD234" s="101">
        <f>ROUND(J234+mwreg!$G$27/100,3)</f>
        <v>0.754</v>
      </c>
      <c r="AE234" s="101">
        <f>ROUND(K234+mwreg!$G$27/100,3)</f>
        <v>0.152</v>
      </c>
      <c r="AF234" s="102">
        <f t="shared" si="319"/>
        <v>0.13469999999999999</v>
      </c>
      <c r="AG234" s="102">
        <f t="shared" si="320"/>
        <v>0.2276</v>
      </c>
      <c r="AH234" s="102">
        <f t="shared" si="413"/>
        <v>0.22900000000000001</v>
      </c>
      <c r="AI234" s="21">
        <f t="shared" si="414"/>
        <v>180</v>
      </c>
      <c r="AJ234" s="21">
        <f t="shared" si="415"/>
        <v>60</v>
      </c>
      <c r="AK234" s="101">
        <f t="shared" si="416"/>
        <v>1E-3</v>
      </c>
      <c r="AL234" s="21">
        <f t="shared" si="417"/>
        <v>3</v>
      </c>
      <c r="AM234" s="21">
        <f t="shared" si="418"/>
        <v>1500</v>
      </c>
      <c r="AN234" s="101">
        <f t="shared" si="419"/>
        <v>0.1</v>
      </c>
      <c r="AO234" s="185" t="str">
        <f t="shared" si="251"/>
        <v>NaN</v>
      </c>
    </row>
    <row r="235" spans="1:41" x14ac:dyDescent="0.2">
      <c r="A235" s="3" t="s">
        <v>296</v>
      </c>
      <c r="B235" s="3" t="s">
        <v>296</v>
      </c>
      <c r="C235" s="52">
        <v>35154</v>
      </c>
      <c r="D235" s="105">
        <v>59.342500000000001</v>
      </c>
      <c r="E235" s="105">
        <v>18.141300000000001</v>
      </c>
      <c r="F235" s="20">
        <v>8195</v>
      </c>
      <c r="G235" s="18">
        <v>0</v>
      </c>
      <c r="H235" s="53">
        <v>10</v>
      </c>
      <c r="I235" s="121">
        <f t="shared" si="409"/>
        <v>-0.54100000000000004</v>
      </c>
      <c r="J235" s="101">
        <f t="shared" si="409"/>
        <v>0.89800000000000002</v>
      </c>
      <c r="K235" s="101">
        <f t="shared" si="409"/>
        <v>4.3999999999999997E-2</v>
      </c>
      <c r="L235" s="102">
        <f t="shared" si="410"/>
        <v>0.16789999999999999</v>
      </c>
      <c r="M235" s="102">
        <f t="shared" si="410"/>
        <v>0.28349999999999997</v>
      </c>
      <c r="N235" s="102">
        <f t="shared" si="410"/>
        <v>0.28570000000000001</v>
      </c>
      <c r="O235" s="21">
        <f t="shared" ref="O235:P235" si="436">ROUND(0.052*O211+0.948*O247,0)</f>
        <v>180</v>
      </c>
      <c r="P235" s="21">
        <f t="shared" si="436"/>
        <v>60</v>
      </c>
      <c r="Q235" s="101">
        <f t="shared" si="411"/>
        <v>1E-3</v>
      </c>
      <c r="R235" s="21">
        <f t="shared" ref="R235:S235" si="437">ROUND(0.052*R211+0.948*R247,0)</f>
        <v>3</v>
      </c>
      <c r="S235" s="21">
        <f t="shared" si="437"/>
        <v>1500</v>
      </c>
      <c r="T235" s="101">
        <f t="shared" si="412"/>
        <v>0.1</v>
      </c>
      <c r="U235" s="54" t="s">
        <v>282</v>
      </c>
      <c r="V235" s="21"/>
      <c r="W235" s="58">
        <f t="shared" si="341"/>
        <v>35154</v>
      </c>
      <c r="X235" s="102">
        <f t="shared" si="342"/>
        <v>59.342500000000001</v>
      </c>
      <c r="Y235" s="102">
        <f t="shared" si="343"/>
        <v>18.141300000000001</v>
      </c>
      <c r="Z235" s="21">
        <f t="shared" si="344"/>
        <v>8195</v>
      </c>
      <c r="AA235" s="44">
        <f t="shared" si="345"/>
        <v>0</v>
      </c>
      <c r="AB235" s="21">
        <f t="shared" si="346"/>
        <v>10</v>
      </c>
      <c r="AC235" s="121">
        <f>ROUND(I235+mwreg!$G$27/100,3)</f>
        <v>-0.45700000000000002</v>
      </c>
      <c r="AD235" s="101">
        <f>ROUND(J235+mwreg!$G$27/100,3)</f>
        <v>0.98199999999999998</v>
      </c>
      <c r="AE235" s="101">
        <f>ROUND(K235+mwreg!$G$27/100,3)</f>
        <v>0.128</v>
      </c>
      <c r="AF235" s="102">
        <f t="shared" si="319"/>
        <v>0.16789999999999999</v>
      </c>
      <c r="AG235" s="102">
        <f t="shared" si="320"/>
        <v>0.28349999999999997</v>
      </c>
      <c r="AH235" s="102">
        <f t="shared" si="413"/>
        <v>0.28570000000000001</v>
      </c>
      <c r="AI235" s="21">
        <f t="shared" si="414"/>
        <v>180</v>
      </c>
      <c r="AJ235" s="21">
        <f t="shared" si="415"/>
        <v>60</v>
      </c>
      <c r="AK235" s="101">
        <f t="shared" si="416"/>
        <v>1E-3</v>
      </c>
      <c r="AL235" s="21">
        <f t="shared" si="417"/>
        <v>3</v>
      </c>
      <c r="AM235" s="21">
        <f t="shared" si="418"/>
        <v>1500</v>
      </c>
      <c r="AN235" s="101">
        <f t="shared" si="419"/>
        <v>0.1</v>
      </c>
      <c r="AO235" s="185" t="str">
        <f t="shared" si="251"/>
        <v>NaN</v>
      </c>
    </row>
    <row r="236" spans="1:41" x14ac:dyDescent="0.2">
      <c r="A236" s="3" t="s">
        <v>296</v>
      </c>
      <c r="B236" s="3" t="s">
        <v>296</v>
      </c>
      <c r="C236" s="52">
        <v>35154</v>
      </c>
      <c r="D236" s="105">
        <v>59.342500000000001</v>
      </c>
      <c r="E236" s="105">
        <v>18.141300000000001</v>
      </c>
      <c r="F236" s="20">
        <v>8195</v>
      </c>
      <c r="G236" s="18">
        <v>0</v>
      </c>
      <c r="H236" s="53">
        <v>11</v>
      </c>
      <c r="I236" s="121">
        <f t="shared" si="409"/>
        <v>-0.56299999999999994</v>
      </c>
      <c r="J236" s="101">
        <f t="shared" si="409"/>
        <v>0.81599999999999995</v>
      </c>
      <c r="K236" s="101">
        <f t="shared" si="409"/>
        <v>6.6000000000000003E-2</v>
      </c>
      <c r="L236" s="102">
        <f t="shared" si="410"/>
        <v>0.19259999999999999</v>
      </c>
      <c r="M236" s="102">
        <f t="shared" si="410"/>
        <v>8.5699999999999998E-2</v>
      </c>
      <c r="N236" s="102">
        <f t="shared" si="410"/>
        <v>8.6900000000000005E-2</v>
      </c>
      <c r="O236" s="21">
        <f t="shared" ref="O236:P236" si="438">ROUND(0.052*O212+0.948*O248,0)</f>
        <v>180</v>
      </c>
      <c r="P236" s="21">
        <f t="shared" si="438"/>
        <v>60</v>
      </c>
      <c r="Q236" s="101">
        <f t="shared" si="411"/>
        <v>1E-3</v>
      </c>
      <c r="R236" s="21">
        <f t="shared" ref="R236:S236" si="439">ROUND(0.052*R212+0.948*R248,0)</f>
        <v>3</v>
      </c>
      <c r="S236" s="21">
        <f t="shared" si="439"/>
        <v>1500</v>
      </c>
      <c r="T236" s="101">
        <f t="shared" si="412"/>
        <v>0.1</v>
      </c>
      <c r="U236" s="54" t="s">
        <v>282</v>
      </c>
      <c r="V236" s="21"/>
      <c r="W236" s="58">
        <f t="shared" si="341"/>
        <v>35154</v>
      </c>
      <c r="X236" s="102">
        <f t="shared" si="342"/>
        <v>59.342500000000001</v>
      </c>
      <c r="Y236" s="102">
        <f t="shared" si="343"/>
        <v>18.141300000000001</v>
      </c>
      <c r="Z236" s="21">
        <f t="shared" si="344"/>
        <v>8195</v>
      </c>
      <c r="AA236" s="44">
        <f t="shared" si="345"/>
        <v>0</v>
      </c>
      <c r="AB236" s="21">
        <f t="shared" si="346"/>
        <v>11</v>
      </c>
      <c r="AC236" s="121">
        <f>ROUND(I236+mwreg!$G$27/100,3)</f>
        <v>-0.47899999999999998</v>
      </c>
      <c r="AD236" s="101">
        <f>ROUND(J236+mwreg!$G$27/100,3)</f>
        <v>0.9</v>
      </c>
      <c r="AE236" s="101">
        <f>ROUND(K236+mwreg!$G$27/100,3)</f>
        <v>0.15</v>
      </c>
      <c r="AF236" s="102">
        <f t="shared" si="319"/>
        <v>0.19259999999999999</v>
      </c>
      <c r="AG236" s="102">
        <f t="shared" si="320"/>
        <v>8.5699999999999998E-2</v>
      </c>
      <c r="AH236" s="102">
        <f t="shared" si="413"/>
        <v>8.6900000000000005E-2</v>
      </c>
      <c r="AI236" s="21">
        <f t="shared" si="414"/>
        <v>180</v>
      </c>
      <c r="AJ236" s="21">
        <f t="shared" si="415"/>
        <v>60</v>
      </c>
      <c r="AK236" s="101">
        <f t="shared" si="416"/>
        <v>1E-3</v>
      </c>
      <c r="AL236" s="21">
        <f t="shared" si="417"/>
        <v>3</v>
      </c>
      <c r="AM236" s="21">
        <f t="shared" si="418"/>
        <v>1500</v>
      </c>
      <c r="AN236" s="101">
        <f t="shared" si="419"/>
        <v>0.1</v>
      </c>
      <c r="AO236" s="185" t="str">
        <f t="shared" si="251"/>
        <v>NaN</v>
      </c>
    </row>
    <row r="237" spans="1:41" x14ac:dyDescent="0.2">
      <c r="A237" s="3" t="s">
        <v>296</v>
      </c>
      <c r="B237" s="3" t="s">
        <v>296</v>
      </c>
      <c r="C237" s="52">
        <v>35154</v>
      </c>
      <c r="D237" s="105">
        <v>59.342500000000001</v>
      </c>
      <c r="E237" s="105">
        <v>18.141300000000001</v>
      </c>
      <c r="F237" s="20">
        <v>8195</v>
      </c>
      <c r="G237" s="18">
        <v>0</v>
      </c>
      <c r="H237" s="53">
        <v>12</v>
      </c>
      <c r="I237" s="121">
        <f t="shared" si="409"/>
        <v>-0.66700000000000004</v>
      </c>
      <c r="J237" s="101">
        <f t="shared" si="409"/>
        <v>0.95799999999999996</v>
      </c>
      <c r="K237" s="101">
        <f t="shared" si="409"/>
        <v>0.129</v>
      </c>
      <c r="L237" s="102">
        <f t="shared" si="410"/>
        <v>0.20949999999999999</v>
      </c>
      <c r="M237" s="102">
        <f t="shared" si="410"/>
        <v>0.16309999999999999</v>
      </c>
      <c r="N237" s="102">
        <f t="shared" si="410"/>
        <v>0.16439999999999999</v>
      </c>
      <c r="O237" s="21">
        <f t="shared" ref="O237:P237" si="440">ROUND(0.052*O213+0.948*O249,0)</f>
        <v>180</v>
      </c>
      <c r="P237" s="21">
        <f t="shared" si="440"/>
        <v>60</v>
      </c>
      <c r="Q237" s="101">
        <f t="shared" si="411"/>
        <v>1E-3</v>
      </c>
      <c r="R237" s="21">
        <f t="shared" ref="R237:S237" si="441">ROUND(0.052*R213+0.948*R249,0)</f>
        <v>3</v>
      </c>
      <c r="S237" s="21">
        <f t="shared" si="441"/>
        <v>1500</v>
      </c>
      <c r="T237" s="101">
        <f t="shared" si="412"/>
        <v>0.1</v>
      </c>
      <c r="U237" s="54" t="s">
        <v>282</v>
      </c>
      <c r="V237" s="21"/>
      <c r="W237" s="58">
        <f t="shared" si="341"/>
        <v>35154</v>
      </c>
      <c r="X237" s="102">
        <f t="shared" si="342"/>
        <v>59.342500000000001</v>
      </c>
      <c r="Y237" s="102">
        <f t="shared" si="343"/>
        <v>18.141300000000001</v>
      </c>
      <c r="Z237" s="21">
        <f t="shared" si="344"/>
        <v>8195</v>
      </c>
      <c r="AA237" s="44">
        <f t="shared" si="345"/>
        <v>0</v>
      </c>
      <c r="AB237" s="21">
        <f t="shared" si="346"/>
        <v>12</v>
      </c>
      <c r="AC237" s="121">
        <f>ROUND(I237+mwreg!$G$27/100,3)</f>
        <v>-0.58299999999999996</v>
      </c>
      <c r="AD237" s="101">
        <f>ROUND(J237+mwreg!$G$27/100,3)</f>
        <v>1.042</v>
      </c>
      <c r="AE237" s="101">
        <f>ROUND(K237+mwreg!$G$27/100,3)</f>
        <v>0.21299999999999999</v>
      </c>
      <c r="AF237" s="102">
        <f t="shared" si="319"/>
        <v>0.20949999999999999</v>
      </c>
      <c r="AG237" s="102">
        <f t="shared" si="320"/>
        <v>0.16309999999999999</v>
      </c>
      <c r="AH237" s="102">
        <f t="shared" si="413"/>
        <v>0.16439999999999999</v>
      </c>
      <c r="AI237" s="21">
        <f t="shared" si="414"/>
        <v>180</v>
      </c>
      <c r="AJ237" s="21">
        <f t="shared" si="415"/>
        <v>60</v>
      </c>
      <c r="AK237" s="101">
        <f t="shared" si="416"/>
        <v>1E-3</v>
      </c>
      <c r="AL237" s="21">
        <f t="shared" si="417"/>
        <v>3</v>
      </c>
      <c r="AM237" s="21">
        <f t="shared" si="418"/>
        <v>1500</v>
      </c>
      <c r="AN237" s="101">
        <f t="shared" si="419"/>
        <v>0.1</v>
      </c>
      <c r="AO237" s="185" t="str">
        <f t="shared" si="251"/>
        <v>NaN</v>
      </c>
    </row>
    <row r="238" spans="1:41" x14ac:dyDescent="0.2">
      <c r="A238" s="3" t="str">
        <f>stat_uppg!A28</f>
        <v>2069/33057</v>
      </c>
      <c r="B238" s="3" t="str">
        <f>stat_uppg!B28</f>
        <v>STOCKHOLM (SMHI)</v>
      </c>
      <c r="C238" s="55">
        <v>2069</v>
      </c>
      <c r="D238" s="79">
        <v>59.324199999999998</v>
      </c>
      <c r="E238" s="79">
        <v>18.081900000000001</v>
      </c>
      <c r="F238" s="14">
        <v>8195</v>
      </c>
      <c r="G238" s="10">
        <v>0</v>
      </c>
      <c r="H238" s="122">
        <v>1</v>
      </c>
      <c r="I238" s="165">
        <v>-0.65700000000000003</v>
      </c>
      <c r="J238" s="11">
        <v>1.1679999999999999</v>
      </c>
      <c r="K238" s="11">
        <v>0.14399999999999999</v>
      </c>
      <c r="L238" s="79">
        <v>0.25640000000000002</v>
      </c>
      <c r="M238" s="79">
        <v>0.1065</v>
      </c>
      <c r="N238" s="79">
        <v>0.1075</v>
      </c>
      <c r="O238" s="14">
        <v>180</v>
      </c>
      <c r="P238" s="14">
        <v>60</v>
      </c>
      <c r="Q238" s="11">
        <v>1E-3</v>
      </c>
      <c r="R238" s="14">
        <v>3</v>
      </c>
      <c r="S238" s="14">
        <v>1500</v>
      </c>
      <c r="T238" s="11">
        <v>0.1</v>
      </c>
      <c r="U238" s="122">
        <v>224276</v>
      </c>
      <c r="V238" s="35"/>
      <c r="W238" s="99">
        <f t="shared" si="341"/>
        <v>2069</v>
      </c>
      <c r="X238" s="100">
        <f t="shared" si="342"/>
        <v>59.324199999999998</v>
      </c>
      <c r="Y238" s="100">
        <f t="shared" si="343"/>
        <v>18.081900000000001</v>
      </c>
      <c r="Z238" s="22">
        <f t="shared" si="344"/>
        <v>8195</v>
      </c>
      <c r="AA238" s="35">
        <f t="shared" si="345"/>
        <v>0</v>
      </c>
      <c r="AB238" s="22">
        <f t="shared" si="346"/>
        <v>1</v>
      </c>
      <c r="AC238" s="120">
        <f>ROUND(I238+mwreg!$G$28/100,3)</f>
        <v>-0.57199999999999995</v>
      </c>
      <c r="AD238" s="106">
        <f>ROUND(J238+mwreg!$G$28/100,3)</f>
        <v>1.2529999999999999</v>
      </c>
      <c r="AE238" s="106">
        <f>ROUND(K238+mwreg!$G$28/100,3)</f>
        <v>0.22900000000000001</v>
      </c>
      <c r="AF238" s="100">
        <f t="shared" si="319"/>
        <v>0.25640000000000002</v>
      </c>
      <c r="AG238" s="100">
        <f t="shared" si="320"/>
        <v>0.1065</v>
      </c>
      <c r="AH238" s="100">
        <f t="shared" si="413"/>
        <v>0.1075</v>
      </c>
      <c r="AI238" s="22">
        <f t="shared" si="414"/>
        <v>180</v>
      </c>
      <c r="AJ238" s="22">
        <f t="shared" si="415"/>
        <v>60</v>
      </c>
      <c r="AK238" s="106">
        <f t="shared" si="416"/>
        <v>1E-3</v>
      </c>
      <c r="AL238" s="22">
        <f t="shared" si="417"/>
        <v>3</v>
      </c>
      <c r="AM238" s="22">
        <f t="shared" si="418"/>
        <v>1500</v>
      </c>
      <c r="AN238" s="106">
        <f t="shared" si="419"/>
        <v>0.1</v>
      </c>
      <c r="AO238" s="184">
        <f t="shared" ref="AO238:AO289" si="442">U238</f>
        <v>224276</v>
      </c>
    </row>
    <row r="239" spans="1:41" x14ac:dyDescent="0.2">
      <c r="A239" s="3" t="s">
        <v>296</v>
      </c>
      <c r="B239" s="3" t="s">
        <v>296</v>
      </c>
      <c r="C239" s="55">
        <v>2069</v>
      </c>
      <c r="D239" s="79">
        <v>59.324199999999998</v>
      </c>
      <c r="E239" s="79">
        <v>18.081900000000001</v>
      </c>
      <c r="F239" s="14">
        <v>8195</v>
      </c>
      <c r="G239" s="10">
        <v>0</v>
      </c>
      <c r="H239" s="122">
        <v>2</v>
      </c>
      <c r="I239" s="165">
        <v>-0.66600000000000004</v>
      </c>
      <c r="J239" s="11">
        <v>1.1080000000000001</v>
      </c>
      <c r="K239" s="11">
        <v>9.0999999999999998E-2</v>
      </c>
      <c r="L239" s="79">
        <v>0.28749999999999998</v>
      </c>
      <c r="M239" s="79">
        <v>7.9000000000000001E-2</v>
      </c>
      <c r="N239" s="79">
        <v>0.08</v>
      </c>
      <c r="O239" s="14">
        <v>180</v>
      </c>
      <c r="P239" s="14">
        <v>60</v>
      </c>
      <c r="Q239" s="11">
        <v>1E-3</v>
      </c>
      <c r="R239" s="14">
        <v>3</v>
      </c>
      <c r="S239" s="14">
        <v>1500</v>
      </c>
      <c r="T239" s="11">
        <v>0.1</v>
      </c>
      <c r="U239" s="122">
        <v>208673</v>
      </c>
      <c r="V239" s="35"/>
      <c r="W239" s="99">
        <f t="shared" si="341"/>
        <v>2069</v>
      </c>
      <c r="X239" s="100">
        <f t="shared" si="342"/>
        <v>59.324199999999998</v>
      </c>
      <c r="Y239" s="100">
        <f t="shared" si="343"/>
        <v>18.081900000000001</v>
      </c>
      <c r="Z239" s="22">
        <f t="shared" si="344"/>
        <v>8195</v>
      </c>
      <c r="AA239" s="35">
        <f t="shared" si="345"/>
        <v>0</v>
      </c>
      <c r="AB239" s="22">
        <f t="shared" si="346"/>
        <v>2</v>
      </c>
      <c r="AC239" s="120">
        <f>ROUND(I239+mwreg!$G$28/100,3)</f>
        <v>-0.58099999999999996</v>
      </c>
      <c r="AD239" s="106">
        <f>ROUND(J239+mwreg!$G$28/100,3)</f>
        <v>1.1930000000000001</v>
      </c>
      <c r="AE239" s="106">
        <f>ROUND(K239+mwreg!$G$28/100,3)</f>
        <v>0.17599999999999999</v>
      </c>
      <c r="AF239" s="100">
        <f t="shared" si="319"/>
        <v>0.28749999999999998</v>
      </c>
      <c r="AG239" s="100">
        <f t="shared" si="320"/>
        <v>7.9000000000000001E-2</v>
      </c>
      <c r="AH239" s="100">
        <f t="shared" si="413"/>
        <v>0.08</v>
      </c>
      <c r="AI239" s="22">
        <f t="shared" si="414"/>
        <v>180</v>
      </c>
      <c r="AJ239" s="22">
        <f t="shared" si="415"/>
        <v>60</v>
      </c>
      <c r="AK239" s="106">
        <f t="shared" si="416"/>
        <v>1E-3</v>
      </c>
      <c r="AL239" s="22">
        <f t="shared" si="417"/>
        <v>3</v>
      </c>
      <c r="AM239" s="22">
        <f t="shared" si="418"/>
        <v>1500</v>
      </c>
      <c r="AN239" s="106">
        <f t="shared" si="419"/>
        <v>0.1</v>
      </c>
      <c r="AO239" s="184">
        <f t="shared" si="442"/>
        <v>208673</v>
      </c>
    </row>
    <row r="240" spans="1:41" x14ac:dyDescent="0.2">
      <c r="A240" s="3" t="s">
        <v>296</v>
      </c>
      <c r="B240" s="3" t="s">
        <v>296</v>
      </c>
      <c r="C240" s="55">
        <v>2069</v>
      </c>
      <c r="D240" s="79">
        <v>59.324199999999998</v>
      </c>
      <c r="E240" s="79">
        <v>18.081900000000001</v>
      </c>
      <c r="F240" s="14">
        <v>8195</v>
      </c>
      <c r="G240" s="10">
        <v>0</v>
      </c>
      <c r="H240" s="122">
        <v>3</v>
      </c>
      <c r="I240" s="165">
        <v>-0.69299999999999995</v>
      </c>
      <c r="J240" s="11">
        <v>0.83499999999999996</v>
      </c>
      <c r="K240" s="11">
        <v>-2.5000000000000001E-2</v>
      </c>
      <c r="L240" s="79">
        <v>0.24229999999999999</v>
      </c>
      <c r="M240" s="79">
        <v>1.4200000000000001E-2</v>
      </c>
      <c r="N240" s="79">
        <v>1.4999999999999999E-2</v>
      </c>
      <c r="O240" s="14">
        <v>180</v>
      </c>
      <c r="P240" s="14">
        <v>60</v>
      </c>
      <c r="Q240" s="11">
        <v>1E-3</v>
      </c>
      <c r="R240" s="14">
        <v>3</v>
      </c>
      <c r="S240" s="14">
        <v>1500</v>
      </c>
      <c r="T240" s="11">
        <v>0.1</v>
      </c>
      <c r="U240" s="122">
        <v>229785</v>
      </c>
      <c r="V240" s="35"/>
      <c r="W240" s="99">
        <f t="shared" si="341"/>
        <v>2069</v>
      </c>
      <c r="X240" s="100">
        <f t="shared" si="342"/>
        <v>59.324199999999998</v>
      </c>
      <c r="Y240" s="100">
        <f t="shared" si="343"/>
        <v>18.081900000000001</v>
      </c>
      <c r="Z240" s="22">
        <f t="shared" si="344"/>
        <v>8195</v>
      </c>
      <c r="AA240" s="35">
        <f t="shared" si="345"/>
        <v>0</v>
      </c>
      <c r="AB240" s="22">
        <f t="shared" si="346"/>
        <v>3</v>
      </c>
      <c r="AC240" s="120">
        <f>ROUND(I240+mwreg!$G$28/100,3)</f>
        <v>-0.60799999999999998</v>
      </c>
      <c r="AD240" s="106">
        <f>ROUND(J240+mwreg!$G$28/100,3)</f>
        <v>0.92</v>
      </c>
      <c r="AE240" s="106">
        <f>ROUND(K240+mwreg!$G$28/100,3)</f>
        <v>0.06</v>
      </c>
      <c r="AF240" s="100">
        <f t="shared" si="319"/>
        <v>0.24229999999999999</v>
      </c>
      <c r="AG240" s="100">
        <f t="shared" si="320"/>
        <v>1.4200000000000001E-2</v>
      </c>
      <c r="AH240" s="100">
        <f t="shared" si="413"/>
        <v>1.4999999999999999E-2</v>
      </c>
      <c r="AI240" s="22">
        <f t="shared" si="414"/>
        <v>180</v>
      </c>
      <c r="AJ240" s="22">
        <f t="shared" si="415"/>
        <v>60</v>
      </c>
      <c r="AK240" s="106">
        <f t="shared" si="416"/>
        <v>1E-3</v>
      </c>
      <c r="AL240" s="22">
        <f t="shared" si="417"/>
        <v>3</v>
      </c>
      <c r="AM240" s="22">
        <f t="shared" si="418"/>
        <v>1500</v>
      </c>
      <c r="AN240" s="106">
        <f t="shared" si="419"/>
        <v>0.1</v>
      </c>
      <c r="AO240" s="184">
        <f t="shared" si="442"/>
        <v>229785</v>
      </c>
    </row>
    <row r="241" spans="1:41" x14ac:dyDescent="0.2">
      <c r="A241" s="3" t="s">
        <v>296</v>
      </c>
      <c r="B241" s="3" t="s">
        <v>296</v>
      </c>
      <c r="C241" s="55">
        <v>2069</v>
      </c>
      <c r="D241" s="79">
        <v>59.324199999999998</v>
      </c>
      <c r="E241" s="79">
        <v>18.081900000000001</v>
      </c>
      <c r="F241" s="14">
        <v>8195</v>
      </c>
      <c r="G241" s="10">
        <v>0</v>
      </c>
      <c r="H241" s="122">
        <v>4</v>
      </c>
      <c r="I241" s="165">
        <v>-0.628</v>
      </c>
      <c r="J241" s="11">
        <v>0.72899999999999998</v>
      </c>
      <c r="K241" s="11">
        <v>-6.8000000000000005E-2</v>
      </c>
      <c r="L241" s="79">
        <v>0.15379999999999999</v>
      </c>
      <c r="M241" s="79">
        <v>2.41E-2</v>
      </c>
      <c r="N241" s="79">
        <v>2.5000000000000001E-2</v>
      </c>
      <c r="O241" s="14">
        <v>180</v>
      </c>
      <c r="P241" s="14">
        <v>60</v>
      </c>
      <c r="Q241" s="11">
        <v>1E-3</v>
      </c>
      <c r="R241" s="14">
        <v>3</v>
      </c>
      <c r="S241" s="14">
        <v>1500</v>
      </c>
      <c r="T241" s="11">
        <v>0.1</v>
      </c>
      <c r="U241" s="122">
        <v>222502</v>
      </c>
      <c r="V241" s="35"/>
      <c r="W241" s="99">
        <f t="shared" si="341"/>
        <v>2069</v>
      </c>
      <c r="X241" s="100">
        <f t="shared" si="342"/>
        <v>59.324199999999998</v>
      </c>
      <c r="Y241" s="100">
        <f t="shared" si="343"/>
        <v>18.081900000000001</v>
      </c>
      <c r="Z241" s="22">
        <f t="shared" si="344"/>
        <v>8195</v>
      </c>
      <c r="AA241" s="35">
        <f t="shared" si="345"/>
        <v>0</v>
      </c>
      <c r="AB241" s="22">
        <f t="shared" si="346"/>
        <v>4</v>
      </c>
      <c r="AC241" s="120">
        <f>ROUND(I241+mwreg!$G$28/100,3)</f>
        <v>-0.54300000000000004</v>
      </c>
      <c r="AD241" s="106">
        <f>ROUND(J241+mwreg!$G$28/100,3)</f>
        <v>0.81399999999999995</v>
      </c>
      <c r="AE241" s="106">
        <f>ROUND(K241+mwreg!$G$28/100,3)</f>
        <v>1.7000000000000001E-2</v>
      </c>
      <c r="AF241" s="100">
        <f t="shared" si="319"/>
        <v>0.15379999999999999</v>
      </c>
      <c r="AG241" s="100">
        <f t="shared" si="320"/>
        <v>2.41E-2</v>
      </c>
      <c r="AH241" s="100">
        <f t="shared" si="413"/>
        <v>2.5000000000000001E-2</v>
      </c>
      <c r="AI241" s="22">
        <f t="shared" si="414"/>
        <v>180</v>
      </c>
      <c r="AJ241" s="22">
        <f t="shared" si="415"/>
        <v>60</v>
      </c>
      <c r="AK241" s="106">
        <f t="shared" si="416"/>
        <v>1E-3</v>
      </c>
      <c r="AL241" s="22">
        <f t="shared" si="417"/>
        <v>3</v>
      </c>
      <c r="AM241" s="22">
        <f t="shared" si="418"/>
        <v>1500</v>
      </c>
      <c r="AN241" s="106">
        <f t="shared" si="419"/>
        <v>0.1</v>
      </c>
      <c r="AO241" s="184">
        <f t="shared" si="442"/>
        <v>222502</v>
      </c>
    </row>
    <row r="242" spans="1:41" x14ac:dyDescent="0.2">
      <c r="A242" s="3" t="s">
        <v>296</v>
      </c>
      <c r="B242" s="3" t="s">
        <v>296</v>
      </c>
      <c r="C242" s="55">
        <v>2069</v>
      </c>
      <c r="D242" s="79">
        <v>59.324199999999998</v>
      </c>
      <c r="E242" s="79">
        <v>18.081900000000001</v>
      </c>
      <c r="F242" s="14">
        <v>8195</v>
      </c>
      <c r="G242" s="10">
        <v>0</v>
      </c>
      <c r="H242" s="122">
        <v>5</v>
      </c>
      <c r="I242" s="165">
        <v>-0.54900000000000004</v>
      </c>
      <c r="J242" s="11">
        <v>0.39500000000000002</v>
      </c>
      <c r="K242" s="11">
        <v>-7.1999999999999995E-2</v>
      </c>
      <c r="L242" s="79">
        <v>0.13339999999999999</v>
      </c>
      <c r="M242" s="79">
        <v>6.9099999999999995E-2</v>
      </c>
      <c r="N242" s="79">
        <v>7.0000000000000007E-2</v>
      </c>
      <c r="O242" s="14">
        <v>180</v>
      </c>
      <c r="P242" s="14">
        <v>60</v>
      </c>
      <c r="Q242" s="11">
        <v>1E-3</v>
      </c>
      <c r="R242" s="14">
        <v>3</v>
      </c>
      <c r="S242" s="14">
        <v>1500</v>
      </c>
      <c r="T242" s="11">
        <v>0.1</v>
      </c>
      <c r="U242" s="122">
        <v>229661</v>
      </c>
      <c r="V242" s="35"/>
      <c r="W242" s="99">
        <f t="shared" si="341"/>
        <v>2069</v>
      </c>
      <c r="X242" s="100">
        <f t="shared" si="342"/>
        <v>59.324199999999998</v>
      </c>
      <c r="Y242" s="100">
        <f t="shared" si="343"/>
        <v>18.081900000000001</v>
      </c>
      <c r="Z242" s="22">
        <f t="shared" si="344"/>
        <v>8195</v>
      </c>
      <c r="AA242" s="35">
        <f t="shared" si="345"/>
        <v>0</v>
      </c>
      <c r="AB242" s="22">
        <f t="shared" si="346"/>
        <v>5</v>
      </c>
      <c r="AC242" s="120">
        <f>ROUND(I242+mwreg!$G$28/100,3)</f>
        <v>-0.46400000000000002</v>
      </c>
      <c r="AD242" s="106">
        <f>ROUND(J242+mwreg!$G$28/100,3)</f>
        <v>0.48</v>
      </c>
      <c r="AE242" s="106">
        <f>ROUND(K242+mwreg!$G$28/100,3)</f>
        <v>1.2999999999999999E-2</v>
      </c>
      <c r="AF242" s="100">
        <f t="shared" si="319"/>
        <v>0.13339999999999999</v>
      </c>
      <c r="AG242" s="100">
        <f t="shared" si="320"/>
        <v>6.9099999999999995E-2</v>
      </c>
      <c r="AH242" s="100">
        <f t="shared" si="413"/>
        <v>7.0000000000000007E-2</v>
      </c>
      <c r="AI242" s="22">
        <f t="shared" si="414"/>
        <v>180</v>
      </c>
      <c r="AJ242" s="22">
        <f t="shared" si="415"/>
        <v>60</v>
      </c>
      <c r="AK242" s="106">
        <f t="shared" si="416"/>
        <v>1E-3</v>
      </c>
      <c r="AL242" s="22">
        <f t="shared" si="417"/>
        <v>3</v>
      </c>
      <c r="AM242" s="22">
        <f t="shared" si="418"/>
        <v>1500</v>
      </c>
      <c r="AN242" s="106">
        <f t="shared" si="419"/>
        <v>0.1</v>
      </c>
      <c r="AO242" s="184">
        <f t="shared" si="442"/>
        <v>229661</v>
      </c>
    </row>
    <row r="243" spans="1:41" x14ac:dyDescent="0.2">
      <c r="A243" s="3" t="s">
        <v>296</v>
      </c>
      <c r="B243" s="3" t="s">
        <v>296</v>
      </c>
      <c r="C243" s="55">
        <v>2069</v>
      </c>
      <c r="D243" s="79">
        <v>59.324199999999998</v>
      </c>
      <c r="E243" s="79">
        <v>18.081900000000001</v>
      </c>
      <c r="F243" s="14">
        <v>8195</v>
      </c>
      <c r="G243" s="10">
        <v>0</v>
      </c>
      <c r="H243" s="122">
        <v>6</v>
      </c>
      <c r="I243" s="165">
        <v>-0.41699999999999998</v>
      </c>
      <c r="J243" s="11">
        <v>0.46</v>
      </c>
      <c r="K243" s="11">
        <v>-3.9E-2</v>
      </c>
      <c r="L243" s="79">
        <v>0.1114</v>
      </c>
      <c r="M243" s="79">
        <v>6.4100000000000004E-2</v>
      </c>
      <c r="N243" s="79">
        <v>6.5000000000000002E-2</v>
      </c>
      <c r="O243" s="14">
        <v>180</v>
      </c>
      <c r="P243" s="14">
        <v>60</v>
      </c>
      <c r="Q243" s="11">
        <v>1E-3</v>
      </c>
      <c r="R243" s="14">
        <v>3</v>
      </c>
      <c r="S243" s="14">
        <v>1500</v>
      </c>
      <c r="T243" s="11">
        <v>0.1</v>
      </c>
      <c r="U243" s="122">
        <v>225226</v>
      </c>
      <c r="V243" s="35"/>
      <c r="W243" s="99">
        <f t="shared" si="341"/>
        <v>2069</v>
      </c>
      <c r="X243" s="100">
        <f t="shared" si="342"/>
        <v>59.324199999999998</v>
      </c>
      <c r="Y243" s="100">
        <f t="shared" si="343"/>
        <v>18.081900000000001</v>
      </c>
      <c r="Z243" s="22">
        <f t="shared" si="344"/>
        <v>8195</v>
      </c>
      <c r="AA243" s="35">
        <f t="shared" si="345"/>
        <v>0</v>
      </c>
      <c r="AB243" s="22">
        <f t="shared" si="346"/>
        <v>6</v>
      </c>
      <c r="AC243" s="120">
        <f>ROUND(I243+mwreg!$G$28/100,3)</f>
        <v>-0.33200000000000002</v>
      </c>
      <c r="AD243" s="106">
        <f>ROUND(J243+mwreg!$G$28/100,3)</f>
        <v>0.54500000000000004</v>
      </c>
      <c r="AE243" s="106">
        <f>ROUND(K243+mwreg!$G$28/100,3)</f>
        <v>4.5999999999999999E-2</v>
      </c>
      <c r="AF243" s="100">
        <f t="shared" si="319"/>
        <v>0.1114</v>
      </c>
      <c r="AG243" s="100">
        <f t="shared" si="320"/>
        <v>6.4100000000000004E-2</v>
      </c>
      <c r="AH243" s="100">
        <f t="shared" si="413"/>
        <v>6.5000000000000002E-2</v>
      </c>
      <c r="AI243" s="22">
        <f t="shared" si="414"/>
        <v>180</v>
      </c>
      <c r="AJ243" s="22">
        <f t="shared" si="415"/>
        <v>60</v>
      </c>
      <c r="AK243" s="106">
        <f t="shared" si="416"/>
        <v>1E-3</v>
      </c>
      <c r="AL243" s="22">
        <f t="shared" si="417"/>
        <v>3</v>
      </c>
      <c r="AM243" s="22">
        <f t="shared" si="418"/>
        <v>1500</v>
      </c>
      <c r="AN243" s="106">
        <f t="shared" si="419"/>
        <v>0.1</v>
      </c>
      <c r="AO243" s="184">
        <f t="shared" si="442"/>
        <v>225226</v>
      </c>
    </row>
    <row r="244" spans="1:41" x14ac:dyDescent="0.2">
      <c r="A244" s="3" t="s">
        <v>296</v>
      </c>
      <c r="B244" s="3" t="s">
        <v>296</v>
      </c>
      <c r="C244" s="55">
        <v>2069</v>
      </c>
      <c r="D244" s="79">
        <v>59.324199999999998</v>
      </c>
      <c r="E244" s="79">
        <v>18.081900000000001</v>
      </c>
      <c r="F244" s="14">
        <v>8195</v>
      </c>
      <c r="G244" s="10">
        <v>0</v>
      </c>
      <c r="H244" s="122">
        <v>7</v>
      </c>
      <c r="I244" s="165">
        <v>-0.316</v>
      </c>
      <c r="J244" s="11">
        <v>0.48299999999999998</v>
      </c>
      <c r="K244" s="11">
        <v>6.7000000000000004E-2</v>
      </c>
      <c r="L244" s="79">
        <v>0.111</v>
      </c>
      <c r="M244" s="79">
        <v>1.5299999999999999E-2</v>
      </c>
      <c r="N244" s="79">
        <v>1.6E-2</v>
      </c>
      <c r="O244" s="14">
        <v>180</v>
      </c>
      <c r="P244" s="14">
        <v>60</v>
      </c>
      <c r="Q244" s="11">
        <v>1E-3</v>
      </c>
      <c r="R244" s="14">
        <v>3</v>
      </c>
      <c r="S244" s="14">
        <v>1500</v>
      </c>
      <c r="T244" s="11">
        <v>0.1</v>
      </c>
      <c r="U244" s="122">
        <v>262240</v>
      </c>
      <c r="V244" s="35"/>
      <c r="W244" s="99">
        <f t="shared" si="341"/>
        <v>2069</v>
      </c>
      <c r="X244" s="100">
        <f t="shared" si="342"/>
        <v>59.324199999999998</v>
      </c>
      <c r="Y244" s="100">
        <f t="shared" si="343"/>
        <v>18.081900000000001</v>
      </c>
      <c r="Z244" s="22">
        <f t="shared" si="344"/>
        <v>8195</v>
      </c>
      <c r="AA244" s="35">
        <f t="shared" si="345"/>
        <v>0</v>
      </c>
      <c r="AB244" s="22">
        <f t="shared" si="346"/>
        <v>7</v>
      </c>
      <c r="AC244" s="120">
        <f>ROUND(I244+mwreg!$G$28/100,3)</f>
        <v>-0.23100000000000001</v>
      </c>
      <c r="AD244" s="106">
        <f>ROUND(J244+mwreg!$G$28/100,3)</f>
        <v>0.56799999999999995</v>
      </c>
      <c r="AE244" s="106">
        <f>ROUND(K244+mwreg!$G$28/100,3)</f>
        <v>0.152</v>
      </c>
      <c r="AF244" s="100">
        <f t="shared" si="319"/>
        <v>0.111</v>
      </c>
      <c r="AG244" s="100">
        <f t="shared" si="320"/>
        <v>1.5299999999999999E-2</v>
      </c>
      <c r="AH244" s="100">
        <f t="shared" si="413"/>
        <v>1.6E-2</v>
      </c>
      <c r="AI244" s="22">
        <f t="shared" si="414"/>
        <v>180</v>
      </c>
      <c r="AJ244" s="22">
        <f t="shared" si="415"/>
        <v>60</v>
      </c>
      <c r="AK244" s="106">
        <f t="shared" si="416"/>
        <v>1E-3</v>
      </c>
      <c r="AL244" s="22">
        <f t="shared" si="417"/>
        <v>3</v>
      </c>
      <c r="AM244" s="22">
        <f t="shared" si="418"/>
        <v>1500</v>
      </c>
      <c r="AN244" s="106">
        <f t="shared" si="419"/>
        <v>0.1</v>
      </c>
      <c r="AO244" s="184">
        <f t="shared" si="442"/>
        <v>262240</v>
      </c>
    </row>
    <row r="245" spans="1:41" x14ac:dyDescent="0.2">
      <c r="A245" s="3" t="s">
        <v>296</v>
      </c>
      <c r="B245" s="3" t="s">
        <v>296</v>
      </c>
      <c r="C245" s="55">
        <v>2069</v>
      </c>
      <c r="D245" s="79">
        <v>59.324199999999998</v>
      </c>
      <c r="E245" s="79">
        <v>18.081900000000001</v>
      </c>
      <c r="F245" s="14">
        <v>8195</v>
      </c>
      <c r="G245" s="10">
        <v>0</v>
      </c>
      <c r="H245" s="122">
        <v>8</v>
      </c>
      <c r="I245" s="165">
        <v>-0.36399999999999999</v>
      </c>
      <c r="J245" s="11">
        <v>0.60399999999999998</v>
      </c>
      <c r="K245" s="11">
        <v>2.9000000000000001E-2</v>
      </c>
      <c r="L245" s="79">
        <v>0.1158</v>
      </c>
      <c r="M245" s="79">
        <v>4.9200000000000001E-2</v>
      </c>
      <c r="N245" s="79">
        <v>0.05</v>
      </c>
      <c r="O245" s="14">
        <v>180</v>
      </c>
      <c r="P245" s="14">
        <v>60</v>
      </c>
      <c r="Q245" s="11">
        <v>1E-3</v>
      </c>
      <c r="R245" s="14">
        <v>3</v>
      </c>
      <c r="S245" s="14">
        <v>1500</v>
      </c>
      <c r="T245" s="11">
        <v>0.1</v>
      </c>
      <c r="U245" s="122">
        <v>262045</v>
      </c>
      <c r="V245" s="35"/>
      <c r="W245" s="99">
        <f t="shared" si="341"/>
        <v>2069</v>
      </c>
      <c r="X245" s="100">
        <f t="shared" si="342"/>
        <v>59.324199999999998</v>
      </c>
      <c r="Y245" s="100">
        <f t="shared" si="343"/>
        <v>18.081900000000001</v>
      </c>
      <c r="Z245" s="22">
        <f t="shared" si="344"/>
        <v>8195</v>
      </c>
      <c r="AA245" s="35">
        <f t="shared" si="345"/>
        <v>0</v>
      </c>
      <c r="AB245" s="22">
        <f t="shared" si="346"/>
        <v>8</v>
      </c>
      <c r="AC245" s="120">
        <f>ROUND(I245+mwreg!$G$28/100,3)</f>
        <v>-0.27900000000000003</v>
      </c>
      <c r="AD245" s="106">
        <f>ROUND(J245+mwreg!$G$28/100,3)</f>
        <v>0.68899999999999995</v>
      </c>
      <c r="AE245" s="106">
        <f>ROUND(K245+mwreg!$G$28/100,3)</f>
        <v>0.114</v>
      </c>
      <c r="AF245" s="100">
        <f t="shared" si="319"/>
        <v>0.1158</v>
      </c>
      <c r="AG245" s="100">
        <f t="shared" si="320"/>
        <v>4.9200000000000001E-2</v>
      </c>
      <c r="AH245" s="100">
        <f t="shared" si="413"/>
        <v>0.05</v>
      </c>
      <c r="AI245" s="22">
        <f t="shared" si="414"/>
        <v>180</v>
      </c>
      <c r="AJ245" s="22">
        <f t="shared" si="415"/>
        <v>60</v>
      </c>
      <c r="AK245" s="106">
        <f t="shared" si="416"/>
        <v>1E-3</v>
      </c>
      <c r="AL245" s="22">
        <f t="shared" si="417"/>
        <v>3</v>
      </c>
      <c r="AM245" s="22">
        <f t="shared" si="418"/>
        <v>1500</v>
      </c>
      <c r="AN245" s="106">
        <f t="shared" si="419"/>
        <v>0.1</v>
      </c>
      <c r="AO245" s="184">
        <f t="shared" si="442"/>
        <v>262045</v>
      </c>
    </row>
    <row r="246" spans="1:41" x14ac:dyDescent="0.2">
      <c r="A246" s="3" t="s">
        <v>296</v>
      </c>
      <c r="B246" s="3" t="s">
        <v>296</v>
      </c>
      <c r="C246" s="55">
        <v>2069</v>
      </c>
      <c r="D246" s="79">
        <v>59.324199999999998</v>
      </c>
      <c r="E246" s="79">
        <v>18.081900000000001</v>
      </c>
      <c r="F246" s="14">
        <v>8195</v>
      </c>
      <c r="G246" s="10">
        <v>0</v>
      </c>
      <c r="H246" s="122">
        <v>9</v>
      </c>
      <c r="I246" s="165">
        <v>-0.46800000000000003</v>
      </c>
      <c r="J246" s="11">
        <v>0.66400000000000003</v>
      </c>
      <c r="K246" s="11">
        <v>6.9000000000000006E-2</v>
      </c>
      <c r="L246" s="79">
        <v>0.1341</v>
      </c>
      <c r="M246" s="79">
        <v>0.23860000000000001</v>
      </c>
      <c r="N246" s="79">
        <v>0.24</v>
      </c>
      <c r="O246" s="14">
        <v>180</v>
      </c>
      <c r="P246" s="14">
        <v>60</v>
      </c>
      <c r="Q246" s="11">
        <v>1E-3</v>
      </c>
      <c r="R246" s="14">
        <v>3</v>
      </c>
      <c r="S246" s="14">
        <v>1500</v>
      </c>
      <c r="T246" s="11">
        <v>0.1</v>
      </c>
      <c r="U246" s="122">
        <v>256926</v>
      </c>
      <c r="V246" s="35"/>
      <c r="W246" s="99">
        <f t="shared" si="341"/>
        <v>2069</v>
      </c>
      <c r="X246" s="100">
        <f t="shared" si="342"/>
        <v>59.324199999999998</v>
      </c>
      <c r="Y246" s="100">
        <f t="shared" si="343"/>
        <v>18.081900000000001</v>
      </c>
      <c r="Z246" s="22">
        <f t="shared" si="344"/>
        <v>8195</v>
      </c>
      <c r="AA246" s="35">
        <f t="shared" si="345"/>
        <v>0</v>
      </c>
      <c r="AB246" s="22">
        <f t="shared" si="346"/>
        <v>9</v>
      </c>
      <c r="AC246" s="120">
        <f>ROUND(I246+mwreg!$G$28/100,3)</f>
        <v>-0.38300000000000001</v>
      </c>
      <c r="AD246" s="106">
        <f>ROUND(J246+mwreg!$G$28/100,3)</f>
        <v>0.749</v>
      </c>
      <c r="AE246" s="106">
        <f>ROUND(K246+mwreg!$G$28/100,3)</f>
        <v>0.154</v>
      </c>
      <c r="AF246" s="100">
        <f t="shared" si="319"/>
        <v>0.1341</v>
      </c>
      <c r="AG246" s="100">
        <f t="shared" si="320"/>
        <v>0.23860000000000001</v>
      </c>
      <c r="AH246" s="100">
        <f t="shared" si="413"/>
        <v>0.24</v>
      </c>
      <c r="AI246" s="22">
        <f t="shared" si="414"/>
        <v>180</v>
      </c>
      <c r="AJ246" s="22">
        <f t="shared" si="415"/>
        <v>60</v>
      </c>
      <c r="AK246" s="106">
        <f t="shared" si="416"/>
        <v>1E-3</v>
      </c>
      <c r="AL246" s="22">
        <f t="shared" si="417"/>
        <v>3</v>
      </c>
      <c r="AM246" s="22">
        <f t="shared" si="418"/>
        <v>1500</v>
      </c>
      <c r="AN246" s="106">
        <f t="shared" si="419"/>
        <v>0.1</v>
      </c>
      <c r="AO246" s="184">
        <f t="shared" si="442"/>
        <v>256926</v>
      </c>
    </row>
    <row r="247" spans="1:41" x14ac:dyDescent="0.2">
      <c r="A247" s="3" t="s">
        <v>296</v>
      </c>
      <c r="B247" s="3" t="s">
        <v>296</v>
      </c>
      <c r="C247" s="55">
        <v>2069</v>
      </c>
      <c r="D247" s="79">
        <v>59.324199999999998</v>
      </c>
      <c r="E247" s="79">
        <v>18.081900000000001</v>
      </c>
      <c r="F247" s="14">
        <v>8195</v>
      </c>
      <c r="G247" s="10">
        <v>0</v>
      </c>
      <c r="H247" s="122">
        <v>10</v>
      </c>
      <c r="I247" s="165">
        <v>-0.53800000000000003</v>
      </c>
      <c r="J247" s="11">
        <v>0.89800000000000002</v>
      </c>
      <c r="K247" s="11">
        <v>4.4999999999999998E-2</v>
      </c>
      <c r="L247" s="79">
        <v>0.16689999999999999</v>
      </c>
      <c r="M247" s="79">
        <v>0.29780000000000001</v>
      </c>
      <c r="N247" s="79">
        <v>0.3</v>
      </c>
      <c r="O247" s="14">
        <v>180</v>
      </c>
      <c r="P247" s="14">
        <v>60</v>
      </c>
      <c r="Q247" s="11">
        <v>1E-3</v>
      </c>
      <c r="R247" s="14">
        <v>3</v>
      </c>
      <c r="S247" s="14">
        <v>1500</v>
      </c>
      <c r="T247" s="11">
        <v>0.1</v>
      </c>
      <c r="U247" s="122">
        <v>267708</v>
      </c>
      <c r="V247" s="35"/>
      <c r="W247" s="99">
        <f t="shared" si="341"/>
        <v>2069</v>
      </c>
      <c r="X247" s="100">
        <f t="shared" si="342"/>
        <v>59.324199999999998</v>
      </c>
      <c r="Y247" s="100">
        <f t="shared" si="343"/>
        <v>18.081900000000001</v>
      </c>
      <c r="Z247" s="22">
        <f t="shared" si="344"/>
        <v>8195</v>
      </c>
      <c r="AA247" s="35">
        <f t="shared" si="345"/>
        <v>0</v>
      </c>
      <c r="AB247" s="22">
        <f t="shared" si="346"/>
        <v>10</v>
      </c>
      <c r="AC247" s="120">
        <f>ROUND(I247+mwreg!$G$28/100,3)</f>
        <v>-0.45300000000000001</v>
      </c>
      <c r="AD247" s="106">
        <f>ROUND(J247+mwreg!$G$28/100,3)</f>
        <v>0.98299999999999998</v>
      </c>
      <c r="AE247" s="106">
        <f>ROUND(K247+mwreg!$G$28/100,3)</f>
        <v>0.13</v>
      </c>
      <c r="AF247" s="100">
        <f t="shared" si="319"/>
        <v>0.16689999999999999</v>
      </c>
      <c r="AG247" s="100">
        <f t="shared" si="320"/>
        <v>0.29780000000000001</v>
      </c>
      <c r="AH247" s="100">
        <f t="shared" si="413"/>
        <v>0.3</v>
      </c>
      <c r="AI247" s="22">
        <f t="shared" si="414"/>
        <v>180</v>
      </c>
      <c r="AJ247" s="22">
        <f t="shared" si="415"/>
        <v>60</v>
      </c>
      <c r="AK247" s="106">
        <f t="shared" si="416"/>
        <v>1E-3</v>
      </c>
      <c r="AL247" s="22">
        <f t="shared" si="417"/>
        <v>3</v>
      </c>
      <c r="AM247" s="22">
        <f t="shared" si="418"/>
        <v>1500</v>
      </c>
      <c r="AN247" s="106">
        <f t="shared" si="419"/>
        <v>0.1</v>
      </c>
      <c r="AO247" s="184">
        <f t="shared" si="442"/>
        <v>267708</v>
      </c>
    </row>
    <row r="248" spans="1:41" x14ac:dyDescent="0.2">
      <c r="A248" s="3" t="s">
        <v>296</v>
      </c>
      <c r="B248" s="3" t="s">
        <v>296</v>
      </c>
      <c r="C248" s="55">
        <v>2069</v>
      </c>
      <c r="D248" s="79">
        <v>59.324199999999998</v>
      </c>
      <c r="E248" s="79">
        <v>18.081900000000001</v>
      </c>
      <c r="F248" s="14">
        <v>8195</v>
      </c>
      <c r="G248" s="10">
        <v>0</v>
      </c>
      <c r="H248" s="122">
        <v>11</v>
      </c>
      <c r="I248" s="165">
        <v>-0.55100000000000005</v>
      </c>
      <c r="J248" s="11">
        <v>0.80300000000000005</v>
      </c>
      <c r="K248" s="11">
        <v>6.7000000000000004E-2</v>
      </c>
      <c r="L248" s="79">
        <v>0.19159999999999999</v>
      </c>
      <c r="M248" s="79">
        <v>8.8900000000000007E-2</v>
      </c>
      <c r="N248" s="79">
        <v>0.09</v>
      </c>
      <c r="O248" s="14">
        <v>180</v>
      </c>
      <c r="P248" s="14">
        <v>60</v>
      </c>
      <c r="Q248" s="11">
        <v>1E-3</v>
      </c>
      <c r="R248" s="14">
        <v>3</v>
      </c>
      <c r="S248" s="14">
        <v>1500</v>
      </c>
      <c r="T248" s="11">
        <v>0.1</v>
      </c>
      <c r="U248" s="122">
        <v>258737</v>
      </c>
      <c r="V248" s="35"/>
      <c r="W248" s="99">
        <f t="shared" si="341"/>
        <v>2069</v>
      </c>
      <c r="X248" s="100">
        <f t="shared" si="342"/>
        <v>59.324199999999998</v>
      </c>
      <c r="Y248" s="100">
        <f t="shared" si="343"/>
        <v>18.081900000000001</v>
      </c>
      <c r="Z248" s="22">
        <f t="shared" si="344"/>
        <v>8195</v>
      </c>
      <c r="AA248" s="35">
        <f t="shared" si="345"/>
        <v>0</v>
      </c>
      <c r="AB248" s="22">
        <f t="shared" si="346"/>
        <v>11</v>
      </c>
      <c r="AC248" s="120">
        <f>ROUND(I248+mwreg!$G$28/100,3)</f>
        <v>-0.46600000000000003</v>
      </c>
      <c r="AD248" s="106">
        <f>ROUND(J248+mwreg!$G$28/100,3)</f>
        <v>0.88800000000000001</v>
      </c>
      <c r="AE248" s="106">
        <f>ROUND(K248+mwreg!$G$28/100,3)</f>
        <v>0.152</v>
      </c>
      <c r="AF248" s="100">
        <f t="shared" si="319"/>
        <v>0.19159999999999999</v>
      </c>
      <c r="AG248" s="100">
        <f t="shared" si="320"/>
        <v>8.8900000000000007E-2</v>
      </c>
      <c r="AH248" s="100">
        <f t="shared" si="413"/>
        <v>0.09</v>
      </c>
      <c r="AI248" s="22">
        <f t="shared" si="414"/>
        <v>180</v>
      </c>
      <c r="AJ248" s="22">
        <f t="shared" si="415"/>
        <v>60</v>
      </c>
      <c r="AK248" s="106">
        <f t="shared" si="416"/>
        <v>1E-3</v>
      </c>
      <c r="AL248" s="22">
        <f t="shared" si="417"/>
        <v>3</v>
      </c>
      <c r="AM248" s="22">
        <f t="shared" si="418"/>
        <v>1500</v>
      </c>
      <c r="AN248" s="106">
        <f t="shared" si="419"/>
        <v>0.1</v>
      </c>
      <c r="AO248" s="184">
        <f t="shared" si="442"/>
        <v>258737</v>
      </c>
    </row>
    <row r="249" spans="1:41" x14ac:dyDescent="0.2">
      <c r="A249" s="3" t="s">
        <v>296</v>
      </c>
      <c r="B249" s="3" t="s">
        <v>296</v>
      </c>
      <c r="C249" s="55">
        <v>2069</v>
      </c>
      <c r="D249" s="79">
        <v>59.324199999999998</v>
      </c>
      <c r="E249" s="79">
        <v>18.081900000000001</v>
      </c>
      <c r="F249" s="14">
        <v>8195</v>
      </c>
      <c r="G249" s="10">
        <v>0</v>
      </c>
      <c r="H249" s="122">
        <v>12</v>
      </c>
      <c r="I249" s="165">
        <v>-0.66400000000000003</v>
      </c>
      <c r="J249" s="11">
        <v>0.93500000000000005</v>
      </c>
      <c r="K249" s="11">
        <v>0.13</v>
      </c>
      <c r="L249" s="79">
        <v>0.20860000000000001</v>
      </c>
      <c r="M249" s="79">
        <v>0.16869999999999999</v>
      </c>
      <c r="N249" s="79">
        <v>0.17</v>
      </c>
      <c r="O249" s="14">
        <v>180</v>
      </c>
      <c r="P249" s="14">
        <v>60</v>
      </c>
      <c r="Q249" s="11">
        <v>1E-3</v>
      </c>
      <c r="R249" s="14">
        <v>3</v>
      </c>
      <c r="S249" s="14">
        <v>1500</v>
      </c>
      <c r="T249" s="11">
        <v>0.1</v>
      </c>
      <c r="U249" s="122">
        <v>226818</v>
      </c>
      <c r="V249" s="35"/>
      <c r="W249" s="99">
        <f t="shared" si="341"/>
        <v>2069</v>
      </c>
      <c r="X249" s="100">
        <f t="shared" si="342"/>
        <v>59.324199999999998</v>
      </c>
      <c r="Y249" s="100">
        <f t="shared" si="343"/>
        <v>18.081900000000001</v>
      </c>
      <c r="Z249" s="22">
        <f t="shared" si="344"/>
        <v>8195</v>
      </c>
      <c r="AA249" s="35">
        <f t="shared" si="345"/>
        <v>0</v>
      </c>
      <c r="AB249" s="22">
        <f t="shared" si="346"/>
        <v>12</v>
      </c>
      <c r="AC249" s="120">
        <f>ROUND(I249+mwreg!$G$28/100,3)</f>
        <v>-0.57899999999999996</v>
      </c>
      <c r="AD249" s="106">
        <f>ROUND(J249+mwreg!$G$28/100,3)</f>
        <v>1.02</v>
      </c>
      <c r="AE249" s="106">
        <f>ROUND(K249+mwreg!$G$28/100,3)</f>
        <v>0.215</v>
      </c>
      <c r="AF249" s="100">
        <f t="shared" si="319"/>
        <v>0.20860000000000001</v>
      </c>
      <c r="AG249" s="100">
        <f t="shared" si="320"/>
        <v>0.16869999999999999</v>
      </c>
      <c r="AH249" s="100">
        <f t="shared" si="413"/>
        <v>0.17</v>
      </c>
      <c r="AI249" s="22">
        <f t="shared" si="414"/>
        <v>180</v>
      </c>
      <c r="AJ249" s="22">
        <f t="shared" si="415"/>
        <v>60</v>
      </c>
      <c r="AK249" s="106">
        <f t="shared" si="416"/>
        <v>1E-3</v>
      </c>
      <c r="AL249" s="22">
        <f t="shared" si="417"/>
        <v>3</v>
      </c>
      <c r="AM249" s="22">
        <f t="shared" si="418"/>
        <v>1500</v>
      </c>
      <c r="AN249" s="106">
        <f t="shared" si="419"/>
        <v>0.1</v>
      </c>
      <c r="AO249" s="184">
        <f t="shared" si="442"/>
        <v>226818</v>
      </c>
    </row>
    <row r="250" spans="1:41" x14ac:dyDescent="0.2">
      <c r="A250" s="3" t="str">
        <f>stat_uppg!A29</f>
        <v>173/35112</v>
      </c>
      <c r="B250" s="3" t="str">
        <f>stat_uppg!B29</f>
        <v>NYNÄS FISKEHAMN (SJÖV)</v>
      </c>
      <c r="C250" s="52">
        <v>35113</v>
      </c>
      <c r="D250" s="105">
        <v>58.917200000000001</v>
      </c>
      <c r="E250" s="105">
        <v>17.972999999999999</v>
      </c>
      <c r="F250" s="20">
        <v>8195</v>
      </c>
      <c r="G250" s="18">
        <v>0</v>
      </c>
      <c r="H250" s="53">
        <v>1</v>
      </c>
      <c r="I250" s="121">
        <f t="shared" ref="I250:K261" si="443">ROUND(0.108*I238+0.892*I262,3)</f>
        <v>-0.626</v>
      </c>
      <c r="J250" s="101">
        <f t="shared" si="443"/>
        <v>0.97499999999999998</v>
      </c>
      <c r="K250" s="101">
        <f t="shared" si="443"/>
        <v>0.13100000000000001</v>
      </c>
      <c r="L250" s="102">
        <f>ROUND(0.108*L238+0.892*L262,4)</f>
        <v>0.254</v>
      </c>
      <c r="M250" s="102">
        <f t="shared" ref="M250:N250" si="444">ROUND(0.108*M238+0.892*M262,4)</f>
        <v>7.2499999999999995E-2</v>
      </c>
      <c r="N250" s="102">
        <f t="shared" si="444"/>
        <v>7.6700000000000004E-2</v>
      </c>
      <c r="O250" s="21">
        <f>ROUND(0.108*O238+0.892*O262,0)</f>
        <v>180</v>
      </c>
      <c r="P250" s="21">
        <f>ROUND(0.108*P238+0.892*P262,0)</f>
        <v>60</v>
      </c>
      <c r="Q250" s="101">
        <f>ROUND(0.108*Q238+0.892*Q262,3)</f>
        <v>1E-3</v>
      </c>
      <c r="R250" s="21">
        <f>ROUND(0.108*R238+0.892*R262,0)</f>
        <v>3</v>
      </c>
      <c r="S250" s="21">
        <f>ROUND(0.108*S238+0.892*S262,0)</f>
        <v>1500</v>
      </c>
      <c r="T250" s="101">
        <f>ROUND(0.108*T238+0.892*T262,3)</f>
        <v>0.1</v>
      </c>
      <c r="U250" s="54" t="s">
        <v>282</v>
      </c>
      <c r="V250" s="21"/>
      <c r="W250" s="58">
        <f t="shared" si="341"/>
        <v>35113</v>
      </c>
      <c r="X250" s="102">
        <f t="shared" si="342"/>
        <v>58.917200000000001</v>
      </c>
      <c r="Y250" s="102">
        <f t="shared" si="343"/>
        <v>17.972999999999999</v>
      </c>
      <c r="Z250" s="21">
        <f t="shared" si="344"/>
        <v>8195</v>
      </c>
      <c r="AA250" s="44">
        <f t="shared" si="345"/>
        <v>0</v>
      </c>
      <c r="AB250" s="21">
        <f t="shared" si="346"/>
        <v>1</v>
      </c>
      <c r="AC250" s="121">
        <f>ROUND(I250+mwreg!$G$29/100,3)</f>
        <v>-0.54500000000000004</v>
      </c>
      <c r="AD250" s="101">
        <f>ROUND(J250+mwreg!$G$29/100,3)</f>
        <v>1.056</v>
      </c>
      <c r="AE250" s="101">
        <f>ROUND(K250+mwreg!$G$29/100,3)</f>
        <v>0.21199999999999999</v>
      </c>
      <c r="AF250" s="102">
        <f t="shared" si="319"/>
        <v>0.254</v>
      </c>
      <c r="AG250" s="102">
        <f t="shared" si="320"/>
        <v>7.2499999999999995E-2</v>
      </c>
      <c r="AH250" s="102">
        <f t="shared" si="413"/>
        <v>7.6700000000000004E-2</v>
      </c>
      <c r="AI250" s="21">
        <f t="shared" si="414"/>
        <v>180</v>
      </c>
      <c r="AJ250" s="21">
        <f t="shared" si="415"/>
        <v>60</v>
      </c>
      <c r="AK250" s="101">
        <f t="shared" si="416"/>
        <v>1E-3</v>
      </c>
      <c r="AL250" s="21">
        <f t="shared" si="417"/>
        <v>3</v>
      </c>
      <c r="AM250" s="21">
        <f t="shared" si="418"/>
        <v>1500</v>
      </c>
      <c r="AN250" s="101">
        <f t="shared" si="419"/>
        <v>0.1</v>
      </c>
      <c r="AO250" s="185" t="str">
        <f t="shared" si="442"/>
        <v>NaN</v>
      </c>
    </row>
    <row r="251" spans="1:41" x14ac:dyDescent="0.2">
      <c r="A251" s="3" t="s">
        <v>296</v>
      </c>
      <c r="B251" s="3" t="s">
        <v>296</v>
      </c>
      <c r="C251" s="52">
        <v>35113</v>
      </c>
      <c r="D251" s="105">
        <v>58.917200000000001</v>
      </c>
      <c r="E251" s="105">
        <v>17.972999999999999</v>
      </c>
      <c r="F251" s="20">
        <v>8195</v>
      </c>
      <c r="G251" s="18">
        <v>0</v>
      </c>
      <c r="H251" s="53">
        <v>2</v>
      </c>
      <c r="I251" s="121">
        <f t="shared" si="443"/>
        <v>-0.65400000000000003</v>
      </c>
      <c r="J251" s="101">
        <f t="shared" si="443"/>
        <v>0.91500000000000004</v>
      </c>
      <c r="K251" s="101">
        <f t="shared" si="443"/>
        <v>7.6999999999999999E-2</v>
      </c>
      <c r="L251" s="102">
        <f t="shared" ref="L251:N261" si="445">ROUND(0.108*L239+0.892*L263,4)</f>
        <v>0.27389999999999998</v>
      </c>
      <c r="M251" s="102">
        <f t="shared" si="445"/>
        <v>7.2499999999999995E-2</v>
      </c>
      <c r="N251" s="102">
        <f t="shared" si="445"/>
        <v>7.5999999999999998E-2</v>
      </c>
      <c r="O251" s="21">
        <f t="shared" ref="O251:P251" si="446">ROUND(0.108*O239+0.892*O263,0)</f>
        <v>180</v>
      </c>
      <c r="P251" s="21">
        <f t="shared" si="446"/>
        <v>60</v>
      </c>
      <c r="Q251" s="101">
        <f t="shared" ref="Q251:Q261" si="447">ROUND(0.108*Q239+0.892*Q263,3)</f>
        <v>1E-3</v>
      </c>
      <c r="R251" s="21">
        <f t="shared" ref="R251:S251" si="448">ROUND(0.108*R239+0.892*R263,0)</f>
        <v>3</v>
      </c>
      <c r="S251" s="21">
        <f t="shared" si="448"/>
        <v>1500</v>
      </c>
      <c r="T251" s="101">
        <f t="shared" ref="T251:T261" si="449">ROUND(0.108*T239+0.892*T263,3)</f>
        <v>0.1</v>
      </c>
      <c r="U251" s="54" t="s">
        <v>282</v>
      </c>
      <c r="V251" s="21"/>
      <c r="W251" s="58">
        <f t="shared" si="341"/>
        <v>35113</v>
      </c>
      <c r="X251" s="102">
        <f t="shared" si="342"/>
        <v>58.917200000000001</v>
      </c>
      <c r="Y251" s="102">
        <f t="shared" si="343"/>
        <v>17.972999999999999</v>
      </c>
      <c r="Z251" s="21">
        <f t="shared" si="344"/>
        <v>8195</v>
      </c>
      <c r="AA251" s="44">
        <f t="shared" si="345"/>
        <v>0</v>
      </c>
      <c r="AB251" s="21">
        <f t="shared" si="346"/>
        <v>2</v>
      </c>
      <c r="AC251" s="121">
        <f>ROUND(I251+mwreg!$G$29/100,3)</f>
        <v>-0.57299999999999995</v>
      </c>
      <c r="AD251" s="101">
        <f>ROUND(J251+mwreg!$G$29/100,3)</f>
        <v>0.996</v>
      </c>
      <c r="AE251" s="101">
        <f>ROUND(K251+mwreg!$G$29/100,3)</f>
        <v>0.158</v>
      </c>
      <c r="AF251" s="102">
        <f t="shared" si="319"/>
        <v>0.27389999999999998</v>
      </c>
      <c r="AG251" s="102">
        <f t="shared" si="320"/>
        <v>7.2499999999999995E-2</v>
      </c>
      <c r="AH251" s="102">
        <f t="shared" si="413"/>
        <v>7.5999999999999998E-2</v>
      </c>
      <c r="AI251" s="21">
        <f t="shared" si="414"/>
        <v>180</v>
      </c>
      <c r="AJ251" s="21">
        <f t="shared" si="415"/>
        <v>60</v>
      </c>
      <c r="AK251" s="101">
        <f t="shared" si="416"/>
        <v>1E-3</v>
      </c>
      <c r="AL251" s="21">
        <f t="shared" si="417"/>
        <v>3</v>
      </c>
      <c r="AM251" s="21">
        <f t="shared" si="418"/>
        <v>1500</v>
      </c>
      <c r="AN251" s="101">
        <f t="shared" si="419"/>
        <v>0.1</v>
      </c>
      <c r="AO251" s="185" t="str">
        <f t="shared" si="442"/>
        <v>NaN</v>
      </c>
    </row>
    <row r="252" spans="1:41" x14ac:dyDescent="0.2">
      <c r="A252" s="3" t="s">
        <v>296</v>
      </c>
      <c r="B252" s="3" t="s">
        <v>296</v>
      </c>
      <c r="C252" s="52">
        <v>35113</v>
      </c>
      <c r="D252" s="105">
        <v>58.917200000000001</v>
      </c>
      <c r="E252" s="105">
        <v>17.972999999999999</v>
      </c>
      <c r="F252" s="20">
        <v>8195</v>
      </c>
      <c r="G252" s="18">
        <v>0</v>
      </c>
      <c r="H252" s="53">
        <v>3</v>
      </c>
      <c r="I252" s="121">
        <f t="shared" si="443"/>
        <v>-0.69899999999999995</v>
      </c>
      <c r="J252" s="101">
        <f t="shared" si="443"/>
        <v>0.76100000000000001</v>
      </c>
      <c r="K252" s="101">
        <f t="shared" si="443"/>
        <v>-7.0000000000000001E-3</v>
      </c>
      <c r="L252" s="102">
        <f t="shared" si="445"/>
        <v>0.23169999999999999</v>
      </c>
      <c r="M252" s="102">
        <f t="shared" si="445"/>
        <v>4.5900000000000003E-2</v>
      </c>
      <c r="N252" s="102">
        <f t="shared" si="445"/>
        <v>4.8899999999999999E-2</v>
      </c>
      <c r="O252" s="21">
        <f t="shared" ref="O252:P252" si="450">ROUND(0.108*O240+0.892*O264,0)</f>
        <v>180</v>
      </c>
      <c r="P252" s="21">
        <f t="shared" si="450"/>
        <v>60</v>
      </c>
      <c r="Q252" s="101">
        <f t="shared" si="447"/>
        <v>1E-3</v>
      </c>
      <c r="R252" s="21">
        <f t="shared" ref="R252:S252" si="451">ROUND(0.108*R240+0.892*R264,0)</f>
        <v>3</v>
      </c>
      <c r="S252" s="21">
        <f t="shared" si="451"/>
        <v>1500</v>
      </c>
      <c r="T252" s="101">
        <f t="shared" si="449"/>
        <v>0.1</v>
      </c>
      <c r="U252" s="54" t="s">
        <v>282</v>
      </c>
      <c r="V252" s="21"/>
      <c r="W252" s="58">
        <f t="shared" si="341"/>
        <v>35113</v>
      </c>
      <c r="X252" s="102">
        <f t="shared" si="342"/>
        <v>58.917200000000001</v>
      </c>
      <c r="Y252" s="102">
        <f t="shared" si="343"/>
        <v>17.972999999999999</v>
      </c>
      <c r="Z252" s="21">
        <f t="shared" si="344"/>
        <v>8195</v>
      </c>
      <c r="AA252" s="44">
        <f t="shared" si="345"/>
        <v>0</v>
      </c>
      <c r="AB252" s="21">
        <f t="shared" si="346"/>
        <v>3</v>
      </c>
      <c r="AC252" s="121">
        <f>ROUND(I252+mwreg!$G$29/100,3)</f>
        <v>-0.61799999999999999</v>
      </c>
      <c r="AD252" s="101">
        <f>ROUND(J252+mwreg!$G$29/100,3)</f>
        <v>0.84199999999999997</v>
      </c>
      <c r="AE252" s="101">
        <f>ROUND(K252+mwreg!$G$29/100,3)</f>
        <v>7.3999999999999996E-2</v>
      </c>
      <c r="AF252" s="102">
        <f t="shared" si="319"/>
        <v>0.23169999999999999</v>
      </c>
      <c r="AG252" s="102">
        <f t="shared" si="320"/>
        <v>4.5900000000000003E-2</v>
      </c>
      <c r="AH252" s="102">
        <f t="shared" si="413"/>
        <v>4.8899999999999999E-2</v>
      </c>
      <c r="AI252" s="21">
        <f t="shared" si="414"/>
        <v>180</v>
      </c>
      <c r="AJ252" s="21">
        <f t="shared" si="415"/>
        <v>60</v>
      </c>
      <c r="AK252" s="101">
        <f t="shared" si="416"/>
        <v>1E-3</v>
      </c>
      <c r="AL252" s="21">
        <f t="shared" si="417"/>
        <v>3</v>
      </c>
      <c r="AM252" s="21">
        <f t="shared" si="418"/>
        <v>1500</v>
      </c>
      <c r="AN252" s="101">
        <f t="shared" si="419"/>
        <v>0.1</v>
      </c>
      <c r="AO252" s="185" t="str">
        <f t="shared" si="442"/>
        <v>NaN</v>
      </c>
    </row>
    <row r="253" spans="1:41" x14ac:dyDescent="0.2">
      <c r="A253" s="3" t="s">
        <v>296</v>
      </c>
      <c r="B253" s="3" t="s">
        <v>296</v>
      </c>
      <c r="C253" s="52">
        <v>35113</v>
      </c>
      <c r="D253" s="105">
        <v>58.917200000000001</v>
      </c>
      <c r="E253" s="105">
        <v>17.972999999999999</v>
      </c>
      <c r="F253" s="20">
        <v>8195</v>
      </c>
      <c r="G253" s="18">
        <v>0</v>
      </c>
      <c r="H253" s="53">
        <v>4</v>
      </c>
      <c r="I253" s="121">
        <f t="shared" si="443"/>
        <v>-0.58799999999999997</v>
      </c>
      <c r="J253" s="101">
        <f t="shared" si="443"/>
        <v>0.57899999999999996</v>
      </c>
      <c r="K253" s="101">
        <f t="shared" si="443"/>
        <v>-8.4000000000000005E-2</v>
      </c>
      <c r="L253" s="102">
        <f t="shared" si="445"/>
        <v>0.15670000000000001</v>
      </c>
      <c r="M253" s="102">
        <f t="shared" si="445"/>
        <v>6.1499999999999999E-2</v>
      </c>
      <c r="N253" s="102">
        <f t="shared" si="445"/>
        <v>6.4199999999999993E-2</v>
      </c>
      <c r="O253" s="21">
        <f t="shared" ref="O253:P253" si="452">ROUND(0.108*O241+0.892*O265,0)</f>
        <v>180</v>
      </c>
      <c r="P253" s="21">
        <f t="shared" si="452"/>
        <v>60</v>
      </c>
      <c r="Q253" s="101">
        <f t="shared" si="447"/>
        <v>1E-3</v>
      </c>
      <c r="R253" s="21">
        <f t="shared" ref="R253:S253" si="453">ROUND(0.108*R241+0.892*R265,0)</f>
        <v>3</v>
      </c>
      <c r="S253" s="21">
        <f t="shared" si="453"/>
        <v>1500</v>
      </c>
      <c r="T253" s="101">
        <f t="shared" si="449"/>
        <v>0.1</v>
      </c>
      <c r="U253" s="54" t="s">
        <v>282</v>
      </c>
      <c r="V253" s="21"/>
      <c r="W253" s="58">
        <f t="shared" si="341"/>
        <v>35113</v>
      </c>
      <c r="X253" s="102">
        <f t="shared" si="342"/>
        <v>58.917200000000001</v>
      </c>
      <c r="Y253" s="102">
        <f t="shared" si="343"/>
        <v>17.972999999999999</v>
      </c>
      <c r="Z253" s="21">
        <f t="shared" si="344"/>
        <v>8195</v>
      </c>
      <c r="AA253" s="44">
        <f t="shared" si="345"/>
        <v>0</v>
      </c>
      <c r="AB253" s="21">
        <f t="shared" si="346"/>
        <v>4</v>
      </c>
      <c r="AC253" s="121">
        <f>ROUND(I253+mwreg!$G$29/100,3)</f>
        <v>-0.50700000000000001</v>
      </c>
      <c r="AD253" s="101">
        <f>ROUND(J253+mwreg!$G$29/100,3)</f>
        <v>0.66</v>
      </c>
      <c r="AE253" s="101">
        <f>ROUND(K253+mwreg!$G$29/100,3)</f>
        <v>-3.0000000000000001E-3</v>
      </c>
      <c r="AF253" s="102">
        <f t="shared" si="319"/>
        <v>0.15670000000000001</v>
      </c>
      <c r="AG253" s="102">
        <f t="shared" si="320"/>
        <v>6.1499999999999999E-2</v>
      </c>
      <c r="AH253" s="102">
        <f t="shared" si="413"/>
        <v>6.4199999999999993E-2</v>
      </c>
      <c r="AI253" s="21">
        <f t="shared" si="414"/>
        <v>180</v>
      </c>
      <c r="AJ253" s="21">
        <f t="shared" si="415"/>
        <v>60</v>
      </c>
      <c r="AK253" s="101">
        <f t="shared" si="416"/>
        <v>1E-3</v>
      </c>
      <c r="AL253" s="21">
        <f t="shared" si="417"/>
        <v>3</v>
      </c>
      <c r="AM253" s="21">
        <f t="shared" si="418"/>
        <v>1500</v>
      </c>
      <c r="AN253" s="101">
        <f t="shared" si="419"/>
        <v>0.1</v>
      </c>
      <c r="AO253" s="185" t="str">
        <f t="shared" si="442"/>
        <v>NaN</v>
      </c>
    </row>
    <row r="254" spans="1:41" x14ac:dyDescent="0.2">
      <c r="A254" s="3" t="s">
        <v>296</v>
      </c>
      <c r="B254" s="3" t="s">
        <v>296</v>
      </c>
      <c r="C254" s="52">
        <v>35113</v>
      </c>
      <c r="D254" s="105">
        <v>58.917200000000001</v>
      </c>
      <c r="E254" s="105">
        <v>17.972999999999999</v>
      </c>
      <c r="F254" s="20">
        <v>8195</v>
      </c>
      <c r="G254" s="18">
        <v>0</v>
      </c>
      <c r="H254" s="53">
        <v>5</v>
      </c>
      <c r="I254" s="121">
        <f t="shared" si="443"/>
        <v>-0.54700000000000004</v>
      </c>
      <c r="J254" s="101">
        <f t="shared" si="443"/>
        <v>0.36299999999999999</v>
      </c>
      <c r="K254" s="101">
        <f t="shared" si="443"/>
        <v>-7.3999999999999996E-2</v>
      </c>
      <c r="L254" s="102">
        <f t="shared" si="445"/>
        <v>0.125</v>
      </c>
      <c r="M254" s="102">
        <f t="shared" si="445"/>
        <v>4.5499999999999999E-2</v>
      </c>
      <c r="N254" s="102">
        <f t="shared" si="445"/>
        <v>4.7699999999999999E-2</v>
      </c>
      <c r="O254" s="21">
        <f t="shared" ref="O254:P254" si="454">ROUND(0.108*O242+0.892*O266,0)</f>
        <v>180</v>
      </c>
      <c r="P254" s="21">
        <f t="shared" si="454"/>
        <v>60</v>
      </c>
      <c r="Q254" s="101">
        <f t="shared" si="447"/>
        <v>1E-3</v>
      </c>
      <c r="R254" s="21">
        <f t="shared" ref="R254:S254" si="455">ROUND(0.108*R242+0.892*R266,0)</f>
        <v>3</v>
      </c>
      <c r="S254" s="21">
        <f t="shared" si="455"/>
        <v>1500</v>
      </c>
      <c r="T254" s="101">
        <f t="shared" si="449"/>
        <v>0.1</v>
      </c>
      <c r="U254" s="54" t="s">
        <v>282</v>
      </c>
      <c r="V254" s="21"/>
      <c r="W254" s="58">
        <f t="shared" ref="W254:W273" si="456">C254</f>
        <v>35113</v>
      </c>
      <c r="X254" s="102">
        <f t="shared" ref="X254:X273" si="457">ROUND(D254,4)</f>
        <v>58.917200000000001</v>
      </c>
      <c r="Y254" s="102">
        <f t="shared" ref="Y254:Y273" si="458">ROUND(E254,4)</f>
        <v>17.972999999999999</v>
      </c>
      <c r="Z254" s="21">
        <f t="shared" ref="Z254:Z273" si="459">F254</f>
        <v>8195</v>
      </c>
      <c r="AA254" s="44">
        <f t="shared" ref="AA254:AA273" si="460">G254</f>
        <v>0</v>
      </c>
      <c r="AB254" s="21">
        <f t="shared" ref="AB254:AB273" si="461">H254</f>
        <v>5</v>
      </c>
      <c r="AC254" s="121">
        <f>ROUND(I254+mwreg!$G$29/100,3)</f>
        <v>-0.46600000000000003</v>
      </c>
      <c r="AD254" s="101">
        <f>ROUND(J254+mwreg!$G$29/100,3)</f>
        <v>0.44400000000000001</v>
      </c>
      <c r="AE254" s="101">
        <f>ROUND(K254+mwreg!$G$29/100,3)</f>
        <v>7.0000000000000001E-3</v>
      </c>
      <c r="AF254" s="102">
        <f t="shared" si="319"/>
        <v>0.125</v>
      </c>
      <c r="AG254" s="102">
        <f t="shared" si="320"/>
        <v>4.5499999999999999E-2</v>
      </c>
      <c r="AH254" s="102">
        <f t="shared" si="413"/>
        <v>4.7699999999999999E-2</v>
      </c>
      <c r="AI254" s="21">
        <f t="shared" si="414"/>
        <v>180</v>
      </c>
      <c r="AJ254" s="21">
        <f t="shared" si="415"/>
        <v>60</v>
      </c>
      <c r="AK254" s="101">
        <f t="shared" si="416"/>
        <v>1E-3</v>
      </c>
      <c r="AL254" s="21">
        <f t="shared" si="417"/>
        <v>3</v>
      </c>
      <c r="AM254" s="21">
        <f t="shared" si="418"/>
        <v>1500</v>
      </c>
      <c r="AN254" s="101">
        <f t="shared" si="419"/>
        <v>0.1</v>
      </c>
      <c r="AO254" s="185" t="str">
        <f t="shared" si="442"/>
        <v>NaN</v>
      </c>
    </row>
    <row r="255" spans="1:41" x14ac:dyDescent="0.2">
      <c r="A255" s="3" t="s">
        <v>296</v>
      </c>
      <c r="B255" s="3" t="s">
        <v>296</v>
      </c>
      <c r="C255" s="52">
        <v>35113</v>
      </c>
      <c r="D255" s="105">
        <v>58.917200000000001</v>
      </c>
      <c r="E255" s="105">
        <v>17.972999999999999</v>
      </c>
      <c r="F255" s="20">
        <v>8195</v>
      </c>
      <c r="G255" s="18">
        <v>0</v>
      </c>
      <c r="H255" s="53">
        <v>6</v>
      </c>
      <c r="I255" s="121">
        <f t="shared" si="443"/>
        <v>-0.39800000000000002</v>
      </c>
      <c r="J255" s="101">
        <f t="shared" si="443"/>
        <v>0.378</v>
      </c>
      <c r="K255" s="101">
        <f t="shared" si="443"/>
        <v>-4.2000000000000003E-2</v>
      </c>
      <c r="L255" s="102">
        <f t="shared" si="445"/>
        <v>0.1038</v>
      </c>
      <c r="M255" s="102">
        <f t="shared" si="445"/>
        <v>5.8099999999999999E-2</v>
      </c>
      <c r="N255" s="102">
        <f t="shared" si="445"/>
        <v>6.0499999999999998E-2</v>
      </c>
      <c r="O255" s="21">
        <f t="shared" ref="O255:P255" si="462">ROUND(0.108*O243+0.892*O267,0)</f>
        <v>180</v>
      </c>
      <c r="P255" s="21">
        <f t="shared" si="462"/>
        <v>60</v>
      </c>
      <c r="Q255" s="101">
        <f t="shared" si="447"/>
        <v>1E-3</v>
      </c>
      <c r="R255" s="21">
        <f t="shared" ref="R255:S255" si="463">ROUND(0.108*R243+0.892*R267,0)</f>
        <v>3</v>
      </c>
      <c r="S255" s="21">
        <f t="shared" si="463"/>
        <v>1500</v>
      </c>
      <c r="T255" s="101">
        <f t="shared" si="449"/>
        <v>0.1</v>
      </c>
      <c r="U255" s="54" t="s">
        <v>282</v>
      </c>
      <c r="V255" s="21"/>
      <c r="W255" s="58">
        <f t="shared" si="456"/>
        <v>35113</v>
      </c>
      <c r="X255" s="102">
        <f t="shared" si="457"/>
        <v>58.917200000000001</v>
      </c>
      <c r="Y255" s="102">
        <f t="shared" si="458"/>
        <v>17.972999999999999</v>
      </c>
      <c r="Z255" s="21">
        <f t="shared" si="459"/>
        <v>8195</v>
      </c>
      <c r="AA255" s="44">
        <f t="shared" si="460"/>
        <v>0</v>
      </c>
      <c r="AB255" s="21">
        <f t="shared" si="461"/>
        <v>6</v>
      </c>
      <c r="AC255" s="121">
        <f>ROUND(I255+mwreg!$G$29/100,3)</f>
        <v>-0.317</v>
      </c>
      <c r="AD255" s="101">
        <f>ROUND(J255+mwreg!$G$29/100,3)</f>
        <v>0.45900000000000002</v>
      </c>
      <c r="AE255" s="101">
        <f>ROUND(K255+mwreg!$G$29/100,3)</f>
        <v>3.9E-2</v>
      </c>
      <c r="AF255" s="102">
        <f t="shared" si="319"/>
        <v>0.1038</v>
      </c>
      <c r="AG255" s="102">
        <f t="shared" si="320"/>
        <v>5.8099999999999999E-2</v>
      </c>
      <c r="AH255" s="102">
        <f t="shared" si="413"/>
        <v>6.0499999999999998E-2</v>
      </c>
      <c r="AI255" s="21">
        <f t="shared" si="414"/>
        <v>180</v>
      </c>
      <c r="AJ255" s="21">
        <f t="shared" si="415"/>
        <v>60</v>
      </c>
      <c r="AK255" s="101">
        <f t="shared" si="416"/>
        <v>1E-3</v>
      </c>
      <c r="AL255" s="21">
        <f t="shared" si="417"/>
        <v>3</v>
      </c>
      <c r="AM255" s="21">
        <f t="shared" si="418"/>
        <v>1500</v>
      </c>
      <c r="AN255" s="101">
        <f t="shared" si="419"/>
        <v>0.1</v>
      </c>
      <c r="AO255" s="185" t="str">
        <f t="shared" si="442"/>
        <v>NaN</v>
      </c>
    </row>
    <row r="256" spans="1:41" x14ac:dyDescent="0.2">
      <c r="A256" s="3" t="s">
        <v>296</v>
      </c>
      <c r="B256" s="3" t="s">
        <v>296</v>
      </c>
      <c r="C256" s="52">
        <v>35113</v>
      </c>
      <c r="D256" s="105">
        <v>58.917200000000001</v>
      </c>
      <c r="E256" s="105">
        <v>17.972999999999999</v>
      </c>
      <c r="F256" s="20">
        <v>8195</v>
      </c>
      <c r="G256" s="18">
        <v>0</v>
      </c>
      <c r="H256" s="53">
        <v>7</v>
      </c>
      <c r="I256" s="121">
        <f t="shared" si="443"/>
        <v>-0.29099999999999998</v>
      </c>
      <c r="J256" s="101">
        <f t="shared" si="443"/>
        <v>0.61499999999999999</v>
      </c>
      <c r="K256" s="101">
        <f t="shared" si="443"/>
        <v>7.0999999999999994E-2</v>
      </c>
      <c r="L256" s="102">
        <f t="shared" si="445"/>
        <v>0.1065</v>
      </c>
      <c r="M256" s="102">
        <f t="shared" si="445"/>
        <v>3.7400000000000003E-2</v>
      </c>
      <c r="N256" s="102">
        <f t="shared" si="445"/>
        <v>3.9199999999999999E-2</v>
      </c>
      <c r="O256" s="21">
        <f t="shared" ref="O256:P256" si="464">ROUND(0.108*O244+0.892*O268,0)</f>
        <v>180</v>
      </c>
      <c r="P256" s="21">
        <f t="shared" si="464"/>
        <v>60</v>
      </c>
      <c r="Q256" s="101">
        <f t="shared" si="447"/>
        <v>1E-3</v>
      </c>
      <c r="R256" s="21">
        <f t="shared" ref="R256:S256" si="465">ROUND(0.108*R244+0.892*R268,0)</f>
        <v>3</v>
      </c>
      <c r="S256" s="21">
        <f t="shared" si="465"/>
        <v>1500</v>
      </c>
      <c r="T256" s="101">
        <f t="shared" si="449"/>
        <v>0.1</v>
      </c>
      <c r="U256" s="54" t="s">
        <v>282</v>
      </c>
      <c r="V256" s="21"/>
      <c r="W256" s="58">
        <f t="shared" si="456"/>
        <v>35113</v>
      </c>
      <c r="X256" s="102">
        <f t="shared" si="457"/>
        <v>58.917200000000001</v>
      </c>
      <c r="Y256" s="102">
        <f t="shared" si="458"/>
        <v>17.972999999999999</v>
      </c>
      <c r="Z256" s="21">
        <f t="shared" si="459"/>
        <v>8195</v>
      </c>
      <c r="AA256" s="44">
        <f t="shared" si="460"/>
        <v>0</v>
      </c>
      <c r="AB256" s="21">
        <f t="shared" si="461"/>
        <v>7</v>
      </c>
      <c r="AC256" s="121">
        <f>ROUND(I256+mwreg!$G$29/100,3)</f>
        <v>-0.21</v>
      </c>
      <c r="AD256" s="101">
        <f>ROUND(J256+mwreg!$G$29/100,3)</f>
        <v>0.69599999999999995</v>
      </c>
      <c r="AE256" s="101">
        <f>ROUND(K256+mwreg!$G$29/100,3)</f>
        <v>0.152</v>
      </c>
      <c r="AF256" s="102">
        <f t="shared" si="319"/>
        <v>0.1065</v>
      </c>
      <c r="AG256" s="102">
        <f t="shared" si="320"/>
        <v>3.7400000000000003E-2</v>
      </c>
      <c r="AH256" s="102">
        <f t="shared" si="413"/>
        <v>3.9199999999999999E-2</v>
      </c>
      <c r="AI256" s="21">
        <f t="shared" si="414"/>
        <v>180</v>
      </c>
      <c r="AJ256" s="21">
        <f t="shared" si="415"/>
        <v>60</v>
      </c>
      <c r="AK256" s="101">
        <f t="shared" si="416"/>
        <v>1E-3</v>
      </c>
      <c r="AL256" s="21">
        <f t="shared" si="417"/>
        <v>3</v>
      </c>
      <c r="AM256" s="21">
        <f t="shared" si="418"/>
        <v>1500</v>
      </c>
      <c r="AN256" s="101">
        <f t="shared" si="419"/>
        <v>0.1</v>
      </c>
      <c r="AO256" s="185" t="str">
        <f t="shared" si="442"/>
        <v>NaN</v>
      </c>
    </row>
    <row r="257" spans="1:41" x14ac:dyDescent="0.2">
      <c r="A257" s="3" t="s">
        <v>296</v>
      </c>
      <c r="B257" s="3" t="s">
        <v>296</v>
      </c>
      <c r="C257" s="52">
        <v>35113</v>
      </c>
      <c r="D257" s="105">
        <v>58.917200000000001</v>
      </c>
      <c r="E257" s="105">
        <v>17.972999999999999</v>
      </c>
      <c r="F257" s="20">
        <v>8195</v>
      </c>
      <c r="G257" s="18">
        <v>0</v>
      </c>
      <c r="H257" s="53">
        <v>8</v>
      </c>
      <c r="I257" s="121">
        <f t="shared" si="443"/>
        <v>-0.35699999999999998</v>
      </c>
      <c r="J257" s="101">
        <f t="shared" si="443"/>
        <v>0.54500000000000004</v>
      </c>
      <c r="K257" s="101">
        <f t="shared" si="443"/>
        <v>3.9E-2</v>
      </c>
      <c r="L257" s="102">
        <f t="shared" si="445"/>
        <v>0.10630000000000001</v>
      </c>
      <c r="M257" s="102">
        <f t="shared" si="445"/>
        <v>5.8400000000000001E-2</v>
      </c>
      <c r="N257" s="102">
        <f t="shared" si="445"/>
        <v>6.0699999999999997E-2</v>
      </c>
      <c r="O257" s="21">
        <f t="shared" ref="O257:P257" si="466">ROUND(0.108*O245+0.892*O269,0)</f>
        <v>180</v>
      </c>
      <c r="P257" s="21">
        <f t="shared" si="466"/>
        <v>60</v>
      </c>
      <c r="Q257" s="101">
        <f t="shared" si="447"/>
        <v>1E-3</v>
      </c>
      <c r="R257" s="21">
        <f t="shared" ref="R257:S257" si="467">ROUND(0.108*R245+0.892*R269,0)</f>
        <v>3</v>
      </c>
      <c r="S257" s="21">
        <f t="shared" si="467"/>
        <v>1500</v>
      </c>
      <c r="T257" s="101">
        <f t="shared" si="449"/>
        <v>0.1</v>
      </c>
      <c r="U257" s="54" t="s">
        <v>282</v>
      </c>
      <c r="V257" s="21"/>
      <c r="W257" s="58">
        <f t="shared" si="456"/>
        <v>35113</v>
      </c>
      <c r="X257" s="102">
        <f t="shared" si="457"/>
        <v>58.917200000000001</v>
      </c>
      <c r="Y257" s="102">
        <f t="shared" si="458"/>
        <v>17.972999999999999</v>
      </c>
      <c r="Z257" s="21">
        <f t="shared" si="459"/>
        <v>8195</v>
      </c>
      <c r="AA257" s="44">
        <f t="shared" si="460"/>
        <v>0</v>
      </c>
      <c r="AB257" s="21">
        <f t="shared" si="461"/>
        <v>8</v>
      </c>
      <c r="AC257" s="121">
        <f>ROUND(I257+mwreg!$G$29/100,3)</f>
        <v>-0.27600000000000002</v>
      </c>
      <c r="AD257" s="101">
        <f>ROUND(J257+mwreg!$G$29/100,3)</f>
        <v>0.626</v>
      </c>
      <c r="AE257" s="101">
        <f>ROUND(K257+mwreg!$G$29/100,3)</f>
        <v>0.12</v>
      </c>
      <c r="AF257" s="102">
        <f t="shared" si="319"/>
        <v>0.10630000000000001</v>
      </c>
      <c r="AG257" s="102">
        <f t="shared" si="320"/>
        <v>5.8400000000000001E-2</v>
      </c>
      <c r="AH257" s="102">
        <f t="shared" si="413"/>
        <v>6.0699999999999997E-2</v>
      </c>
      <c r="AI257" s="21">
        <f t="shared" si="414"/>
        <v>180</v>
      </c>
      <c r="AJ257" s="21">
        <f t="shared" si="415"/>
        <v>60</v>
      </c>
      <c r="AK257" s="101">
        <f t="shared" si="416"/>
        <v>1E-3</v>
      </c>
      <c r="AL257" s="21">
        <f t="shared" si="417"/>
        <v>3</v>
      </c>
      <c r="AM257" s="21">
        <f t="shared" si="418"/>
        <v>1500</v>
      </c>
      <c r="AN257" s="101">
        <f t="shared" si="419"/>
        <v>0.1</v>
      </c>
      <c r="AO257" s="185" t="str">
        <f t="shared" si="442"/>
        <v>NaN</v>
      </c>
    </row>
    <row r="258" spans="1:41" x14ac:dyDescent="0.2">
      <c r="A258" s="3" t="s">
        <v>296</v>
      </c>
      <c r="B258" s="3" t="s">
        <v>296</v>
      </c>
      <c r="C258" s="52">
        <v>35113</v>
      </c>
      <c r="D258" s="105">
        <v>58.917200000000001</v>
      </c>
      <c r="E258" s="105">
        <v>17.972999999999999</v>
      </c>
      <c r="F258" s="20">
        <v>8195</v>
      </c>
      <c r="G258" s="18">
        <v>0</v>
      </c>
      <c r="H258" s="53">
        <v>9</v>
      </c>
      <c r="I258" s="121">
        <f t="shared" si="443"/>
        <v>-0.433</v>
      </c>
      <c r="J258" s="101">
        <f t="shared" si="443"/>
        <v>0.65</v>
      </c>
      <c r="K258" s="101">
        <f t="shared" si="443"/>
        <v>7.9000000000000001E-2</v>
      </c>
      <c r="L258" s="102">
        <f t="shared" si="445"/>
        <v>0.1293</v>
      </c>
      <c r="M258" s="102">
        <f t="shared" si="445"/>
        <v>6.8500000000000005E-2</v>
      </c>
      <c r="N258" s="102">
        <f t="shared" si="445"/>
        <v>7.1400000000000005E-2</v>
      </c>
      <c r="O258" s="21">
        <f t="shared" ref="O258:P258" si="468">ROUND(0.108*O246+0.892*O270,0)</f>
        <v>180</v>
      </c>
      <c r="P258" s="21">
        <f t="shared" si="468"/>
        <v>60</v>
      </c>
      <c r="Q258" s="101">
        <f t="shared" si="447"/>
        <v>1E-3</v>
      </c>
      <c r="R258" s="21">
        <f t="shared" ref="R258:S258" si="469">ROUND(0.108*R246+0.892*R270,0)</f>
        <v>3</v>
      </c>
      <c r="S258" s="21">
        <f t="shared" si="469"/>
        <v>1500</v>
      </c>
      <c r="T258" s="101">
        <f t="shared" si="449"/>
        <v>0.1</v>
      </c>
      <c r="U258" s="54" t="s">
        <v>282</v>
      </c>
      <c r="V258" s="21"/>
      <c r="W258" s="58">
        <f t="shared" si="456"/>
        <v>35113</v>
      </c>
      <c r="X258" s="102">
        <f t="shared" si="457"/>
        <v>58.917200000000001</v>
      </c>
      <c r="Y258" s="102">
        <f t="shared" si="458"/>
        <v>17.972999999999999</v>
      </c>
      <c r="Z258" s="21">
        <f t="shared" si="459"/>
        <v>8195</v>
      </c>
      <c r="AA258" s="44">
        <f t="shared" si="460"/>
        <v>0</v>
      </c>
      <c r="AB258" s="21">
        <f t="shared" si="461"/>
        <v>9</v>
      </c>
      <c r="AC258" s="121">
        <f>ROUND(I258+mwreg!$G$29/100,3)</f>
        <v>-0.35199999999999998</v>
      </c>
      <c r="AD258" s="101">
        <f>ROUND(J258+mwreg!$G$29/100,3)</f>
        <v>0.73099999999999998</v>
      </c>
      <c r="AE258" s="101">
        <f>ROUND(K258+mwreg!$G$29/100,3)</f>
        <v>0.16</v>
      </c>
      <c r="AF258" s="102">
        <f t="shared" si="319"/>
        <v>0.1293</v>
      </c>
      <c r="AG258" s="102">
        <f t="shared" si="320"/>
        <v>6.8500000000000005E-2</v>
      </c>
      <c r="AH258" s="102">
        <f t="shared" si="413"/>
        <v>7.1400000000000005E-2</v>
      </c>
      <c r="AI258" s="21">
        <f t="shared" si="414"/>
        <v>180</v>
      </c>
      <c r="AJ258" s="21">
        <f t="shared" si="415"/>
        <v>60</v>
      </c>
      <c r="AK258" s="101">
        <f t="shared" si="416"/>
        <v>1E-3</v>
      </c>
      <c r="AL258" s="21">
        <f t="shared" si="417"/>
        <v>3</v>
      </c>
      <c r="AM258" s="21">
        <f t="shared" si="418"/>
        <v>1500</v>
      </c>
      <c r="AN258" s="101">
        <f t="shared" si="419"/>
        <v>0.1</v>
      </c>
      <c r="AO258" s="185" t="str">
        <f t="shared" si="442"/>
        <v>NaN</v>
      </c>
    </row>
    <row r="259" spans="1:41" x14ac:dyDescent="0.2">
      <c r="A259" s="3" t="s">
        <v>296</v>
      </c>
      <c r="B259" s="3" t="s">
        <v>296</v>
      </c>
      <c r="C259" s="52">
        <v>35113</v>
      </c>
      <c r="D259" s="105">
        <v>58.917200000000001</v>
      </c>
      <c r="E259" s="105">
        <v>17.972999999999999</v>
      </c>
      <c r="F259" s="20">
        <v>8195</v>
      </c>
      <c r="G259" s="18">
        <v>0</v>
      </c>
      <c r="H259" s="53">
        <v>10</v>
      </c>
      <c r="I259" s="121">
        <f t="shared" si="443"/>
        <v>-0.53900000000000003</v>
      </c>
      <c r="J259" s="101">
        <f t="shared" si="443"/>
        <v>0.82399999999999995</v>
      </c>
      <c r="K259" s="101">
        <f t="shared" si="443"/>
        <v>4.1000000000000002E-2</v>
      </c>
      <c r="L259" s="102">
        <f t="shared" si="445"/>
        <v>0.16</v>
      </c>
      <c r="M259" s="102">
        <f t="shared" si="445"/>
        <v>9.4E-2</v>
      </c>
      <c r="N259" s="102">
        <f t="shared" si="445"/>
        <v>9.7500000000000003E-2</v>
      </c>
      <c r="O259" s="21">
        <f t="shared" ref="O259:P259" si="470">ROUND(0.108*O247+0.892*O271,0)</f>
        <v>180</v>
      </c>
      <c r="P259" s="21">
        <f t="shared" si="470"/>
        <v>60</v>
      </c>
      <c r="Q259" s="101">
        <f t="shared" si="447"/>
        <v>1E-3</v>
      </c>
      <c r="R259" s="21">
        <f t="shared" ref="R259:S259" si="471">ROUND(0.108*R247+0.892*R271,0)</f>
        <v>3</v>
      </c>
      <c r="S259" s="21">
        <f t="shared" si="471"/>
        <v>1500</v>
      </c>
      <c r="T259" s="101">
        <f t="shared" si="449"/>
        <v>0.1</v>
      </c>
      <c r="U259" s="54" t="s">
        <v>282</v>
      </c>
      <c r="V259" s="21"/>
      <c r="W259" s="58">
        <f t="shared" si="456"/>
        <v>35113</v>
      </c>
      <c r="X259" s="102">
        <f t="shared" si="457"/>
        <v>58.917200000000001</v>
      </c>
      <c r="Y259" s="102">
        <f t="shared" si="458"/>
        <v>17.972999999999999</v>
      </c>
      <c r="Z259" s="21">
        <f t="shared" si="459"/>
        <v>8195</v>
      </c>
      <c r="AA259" s="44">
        <f t="shared" si="460"/>
        <v>0</v>
      </c>
      <c r="AB259" s="21">
        <f t="shared" si="461"/>
        <v>10</v>
      </c>
      <c r="AC259" s="121">
        <f>ROUND(I259+mwreg!$G$29/100,3)</f>
        <v>-0.45800000000000002</v>
      </c>
      <c r="AD259" s="101">
        <f>ROUND(J259+mwreg!$G$29/100,3)</f>
        <v>0.90500000000000003</v>
      </c>
      <c r="AE259" s="101">
        <f>ROUND(K259+mwreg!$G$29/100,3)</f>
        <v>0.122</v>
      </c>
      <c r="AF259" s="102">
        <f t="shared" si="319"/>
        <v>0.16</v>
      </c>
      <c r="AG259" s="102">
        <f t="shared" si="320"/>
        <v>9.4E-2</v>
      </c>
      <c r="AH259" s="102">
        <f t="shared" si="413"/>
        <v>9.7500000000000003E-2</v>
      </c>
      <c r="AI259" s="21">
        <f t="shared" si="414"/>
        <v>180</v>
      </c>
      <c r="AJ259" s="21">
        <f t="shared" si="415"/>
        <v>60</v>
      </c>
      <c r="AK259" s="101">
        <f t="shared" si="416"/>
        <v>1E-3</v>
      </c>
      <c r="AL259" s="21">
        <f t="shared" si="417"/>
        <v>3</v>
      </c>
      <c r="AM259" s="21">
        <f t="shared" si="418"/>
        <v>1500</v>
      </c>
      <c r="AN259" s="101">
        <f t="shared" si="419"/>
        <v>0.1</v>
      </c>
      <c r="AO259" s="185" t="str">
        <f t="shared" si="442"/>
        <v>NaN</v>
      </c>
    </row>
    <row r="260" spans="1:41" x14ac:dyDescent="0.2">
      <c r="A260" s="3" t="s">
        <v>296</v>
      </c>
      <c r="B260" s="3" t="s">
        <v>296</v>
      </c>
      <c r="C260" s="52">
        <v>35113</v>
      </c>
      <c r="D260" s="105">
        <v>58.917200000000001</v>
      </c>
      <c r="E260" s="105">
        <v>17.972999999999999</v>
      </c>
      <c r="F260" s="20">
        <v>8195</v>
      </c>
      <c r="G260" s="18">
        <v>0</v>
      </c>
      <c r="H260" s="53">
        <v>11</v>
      </c>
      <c r="I260" s="121">
        <f t="shared" si="443"/>
        <v>-0.51300000000000001</v>
      </c>
      <c r="J260" s="101">
        <f t="shared" si="443"/>
        <v>0.752</v>
      </c>
      <c r="K260" s="101">
        <f t="shared" si="443"/>
        <v>6.0999999999999999E-2</v>
      </c>
      <c r="L260" s="102">
        <f t="shared" si="445"/>
        <v>0.1865</v>
      </c>
      <c r="M260" s="102">
        <f t="shared" si="445"/>
        <v>8.4199999999999997E-2</v>
      </c>
      <c r="N260" s="102">
        <f t="shared" si="445"/>
        <v>8.8200000000000001E-2</v>
      </c>
      <c r="O260" s="21">
        <f t="shared" ref="O260:P260" si="472">ROUND(0.108*O248+0.892*O272,0)</f>
        <v>180</v>
      </c>
      <c r="P260" s="21">
        <f t="shared" si="472"/>
        <v>60</v>
      </c>
      <c r="Q260" s="101">
        <f t="shared" si="447"/>
        <v>1E-3</v>
      </c>
      <c r="R260" s="21">
        <f t="shared" ref="R260:S260" si="473">ROUND(0.108*R248+0.892*R272,0)</f>
        <v>3</v>
      </c>
      <c r="S260" s="21">
        <f t="shared" si="473"/>
        <v>1500</v>
      </c>
      <c r="T260" s="101">
        <f t="shared" si="449"/>
        <v>0.1</v>
      </c>
      <c r="U260" s="54" t="s">
        <v>282</v>
      </c>
      <c r="V260" s="21"/>
      <c r="W260" s="58">
        <f t="shared" si="456"/>
        <v>35113</v>
      </c>
      <c r="X260" s="102">
        <f t="shared" si="457"/>
        <v>58.917200000000001</v>
      </c>
      <c r="Y260" s="102">
        <f t="shared" si="458"/>
        <v>17.972999999999999</v>
      </c>
      <c r="Z260" s="21">
        <f t="shared" si="459"/>
        <v>8195</v>
      </c>
      <c r="AA260" s="44">
        <f t="shared" si="460"/>
        <v>0</v>
      </c>
      <c r="AB260" s="21">
        <f t="shared" si="461"/>
        <v>11</v>
      </c>
      <c r="AC260" s="121">
        <f>ROUND(I260+mwreg!$G$29/100,3)</f>
        <v>-0.432</v>
      </c>
      <c r="AD260" s="101">
        <f>ROUND(J260+mwreg!$G$29/100,3)</f>
        <v>0.83299999999999996</v>
      </c>
      <c r="AE260" s="101">
        <f>ROUND(K260+mwreg!$G$29/100,3)</f>
        <v>0.14199999999999999</v>
      </c>
      <c r="AF260" s="102">
        <f t="shared" si="319"/>
        <v>0.1865</v>
      </c>
      <c r="AG260" s="102">
        <f t="shared" si="320"/>
        <v>8.4199999999999997E-2</v>
      </c>
      <c r="AH260" s="102">
        <f t="shared" si="413"/>
        <v>8.8200000000000001E-2</v>
      </c>
      <c r="AI260" s="21">
        <f t="shared" si="414"/>
        <v>180</v>
      </c>
      <c r="AJ260" s="21">
        <f t="shared" si="415"/>
        <v>60</v>
      </c>
      <c r="AK260" s="101">
        <f t="shared" si="416"/>
        <v>1E-3</v>
      </c>
      <c r="AL260" s="21">
        <f t="shared" si="417"/>
        <v>3</v>
      </c>
      <c r="AM260" s="21">
        <f t="shared" si="418"/>
        <v>1500</v>
      </c>
      <c r="AN260" s="101">
        <f t="shared" si="419"/>
        <v>0.1</v>
      </c>
      <c r="AO260" s="185" t="str">
        <f t="shared" si="442"/>
        <v>NaN</v>
      </c>
    </row>
    <row r="261" spans="1:41" x14ac:dyDescent="0.2">
      <c r="A261" s="3" t="s">
        <v>296</v>
      </c>
      <c r="B261" s="3" t="s">
        <v>296</v>
      </c>
      <c r="C261" s="52">
        <v>35113</v>
      </c>
      <c r="D261" s="105">
        <v>58.917200000000001</v>
      </c>
      <c r="E261" s="105">
        <v>17.972999999999999</v>
      </c>
      <c r="F261" s="20">
        <v>8195</v>
      </c>
      <c r="G261" s="18">
        <v>0</v>
      </c>
      <c r="H261" s="53">
        <v>12</v>
      </c>
      <c r="I261" s="121">
        <f t="shared" si="443"/>
        <v>-0.59599999999999997</v>
      </c>
      <c r="J261" s="101">
        <f t="shared" si="443"/>
        <v>0.90200000000000002</v>
      </c>
      <c r="K261" s="101">
        <f t="shared" si="443"/>
        <v>0.11899999999999999</v>
      </c>
      <c r="L261" s="102">
        <f t="shared" si="445"/>
        <v>0.19989999999999999</v>
      </c>
      <c r="M261" s="102">
        <f t="shared" si="445"/>
        <v>8.2100000000000006E-2</v>
      </c>
      <c r="N261" s="102">
        <f t="shared" si="445"/>
        <v>8.6199999999999999E-2</v>
      </c>
      <c r="O261" s="21">
        <f t="shared" ref="O261:P261" si="474">ROUND(0.108*O249+0.892*O273,0)</f>
        <v>180</v>
      </c>
      <c r="P261" s="21">
        <f t="shared" si="474"/>
        <v>60</v>
      </c>
      <c r="Q261" s="101">
        <f t="shared" si="447"/>
        <v>1E-3</v>
      </c>
      <c r="R261" s="21">
        <f t="shared" ref="R261:S261" si="475">ROUND(0.108*R249+0.892*R273,0)</f>
        <v>3</v>
      </c>
      <c r="S261" s="21">
        <f t="shared" si="475"/>
        <v>1500</v>
      </c>
      <c r="T261" s="101">
        <f t="shared" si="449"/>
        <v>0.1</v>
      </c>
      <c r="U261" s="54" t="s">
        <v>282</v>
      </c>
      <c r="V261" s="21"/>
      <c r="W261" s="58">
        <f t="shared" si="456"/>
        <v>35113</v>
      </c>
      <c r="X261" s="102">
        <f t="shared" si="457"/>
        <v>58.917200000000001</v>
      </c>
      <c r="Y261" s="102">
        <f t="shared" si="458"/>
        <v>17.972999999999999</v>
      </c>
      <c r="Z261" s="21">
        <f t="shared" si="459"/>
        <v>8195</v>
      </c>
      <c r="AA261" s="44">
        <f t="shared" si="460"/>
        <v>0</v>
      </c>
      <c r="AB261" s="21">
        <f t="shared" si="461"/>
        <v>12</v>
      </c>
      <c r="AC261" s="121">
        <f>ROUND(I261+mwreg!$G$29/100,3)</f>
        <v>-0.51500000000000001</v>
      </c>
      <c r="AD261" s="101">
        <f>ROUND(J261+mwreg!$G$29/100,3)</f>
        <v>0.98299999999999998</v>
      </c>
      <c r="AE261" s="101">
        <f>ROUND(K261+mwreg!$G$29/100,3)</f>
        <v>0.2</v>
      </c>
      <c r="AF261" s="102">
        <f t="shared" si="319"/>
        <v>0.19989999999999999</v>
      </c>
      <c r="AG261" s="102">
        <f t="shared" si="320"/>
        <v>8.2100000000000006E-2</v>
      </c>
      <c r="AH261" s="102">
        <f t="shared" si="413"/>
        <v>8.6199999999999999E-2</v>
      </c>
      <c r="AI261" s="21">
        <f t="shared" si="414"/>
        <v>180</v>
      </c>
      <c r="AJ261" s="21">
        <f t="shared" si="415"/>
        <v>60</v>
      </c>
      <c r="AK261" s="101">
        <f t="shared" si="416"/>
        <v>1E-3</v>
      </c>
      <c r="AL261" s="21">
        <f t="shared" si="417"/>
        <v>3</v>
      </c>
      <c r="AM261" s="21">
        <f t="shared" si="418"/>
        <v>1500</v>
      </c>
      <c r="AN261" s="101">
        <f t="shared" si="419"/>
        <v>0.1</v>
      </c>
      <c r="AO261" s="185" t="str">
        <f t="shared" si="442"/>
        <v>NaN</v>
      </c>
    </row>
    <row r="262" spans="1:41" x14ac:dyDescent="0.2">
      <c r="A262" s="3" t="str">
        <f>stat_uppg!A30</f>
        <v>2507/33058</v>
      </c>
      <c r="B262" s="3" t="str">
        <f>stat_uppg!B30</f>
        <v>LANDSORT NORRA (SMHI)</v>
      </c>
      <c r="C262" s="55">
        <v>2507</v>
      </c>
      <c r="D262" s="79">
        <v>58.768900000000002</v>
      </c>
      <c r="E262" s="79">
        <v>17.858899999999998</v>
      </c>
      <c r="F262" s="14">
        <v>8195</v>
      </c>
      <c r="G262" s="10">
        <v>0</v>
      </c>
      <c r="H262" s="122">
        <v>1</v>
      </c>
      <c r="I262" s="120">
        <v>-0.622</v>
      </c>
      <c r="J262" s="106">
        <v>0.95199999999999996</v>
      </c>
      <c r="K262" s="106">
        <v>0.129</v>
      </c>
      <c r="L262" s="100">
        <v>0.25369999999999998</v>
      </c>
      <c r="M262" s="79">
        <v>6.8400000000000002E-2</v>
      </c>
      <c r="N262" s="79">
        <v>7.2999999999999995E-2</v>
      </c>
      <c r="O262" s="14">
        <v>180</v>
      </c>
      <c r="P262" s="14">
        <v>60</v>
      </c>
      <c r="Q262" s="11">
        <v>1E-3</v>
      </c>
      <c r="R262" s="14">
        <v>3</v>
      </c>
      <c r="S262" s="14">
        <v>1500</v>
      </c>
      <c r="T262" s="11">
        <v>0.1</v>
      </c>
      <c r="U262" s="122">
        <v>225822</v>
      </c>
      <c r="V262" s="35"/>
      <c r="W262" s="99">
        <f t="shared" si="456"/>
        <v>2507</v>
      </c>
      <c r="X262" s="100">
        <f t="shared" si="457"/>
        <v>58.768900000000002</v>
      </c>
      <c r="Y262" s="100">
        <f t="shared" si="458"/>
        <v>17.858899999999998</v>
      </c>
      <c r="Z262" s="22">
        <f t="shared" si="459"/>
        <v>8195</v>
      </c>
      <c r="AA262" s="35">
        <f t="shared" si="460"/>
        <v>0</v>
      </c>
      <c r="AB262" s="22">
        <f t="shared" si="461"/>
        <v>1</v>
      </c>
      <c r="AC262" s="120">
        <f>ROUND(I262+mwreg!$G$30/100,3)</f>
        <v>-0.53900000000000003</v>
      </c>
      <c r="AD262" s="106">
        <f>ROUND(J262+mwreg!$G$30/100,3)</f>
        <v>1.0349999999999999</v>
      </c>
      <c r="AE262" s="106">
        <f>ROUND(K262+mwreg!$G$30/100,3)</f>
        <v>0.21199999999999999</v>
      </c>
      <c r="AF262" s="100">
        <f t="shared" si="319"/>
        <v>0.25369999999999998</v>
      </c>
      <c r="AG262" s="100">
        <f t="shared" si="320"/>
        <v>6.8400000000000002E-2</v>
      </c>
      <c r="AH262" s="100">
        <f t="shared" si="413"/>
        <v>7.2999999999999995E-2</v>
      </c>
      <c r="AI262" s="22">
        <f t="shared" si="414"/>
        <v>180</v>
      </c>
      <c r="AJ262" s="22">
        <f t="shared" si="415"/>
        <v>60</v>
      </c>
      <c r="AK262" s="106">
        <f t="shared" si="416"/>
        <v>1E-3</v>
      </c>
      <c r="AL262" s="22">
        <f t="shared" si="417"/>
        <v>3</v>
      </c>
      <c r="AM262" s="22">
        <f t="shared" si="418"/>
        <v>1500</v>
      </c>
      <c r="AN262" s="106">
        <f t="shared" si="419"/>
        <v>0.1</v>
      </c>
      <c r="AO262" s="184">
        <f t="shared" si="442"/>
        <v>225822</v>
      </c>
    </row>
    <row r="263" spans="1:41" x14ac:dyDescent="0.2">
      <c r="A263" s="3" t="s">
        <v>296</v>
      </c>
      <c r="B263" s="3" t="s">
        <v>296</v>
      </c>
      <c r="C263" s="55">
        <v>2507</v>
      </c>
      <c r="D263" s="79">
        <v>58.768900000000002</v>
      </c>
      <c r="E263" s="79">
        <v>17.858899999999998</v>
      </c>
      <c r="F263" s="14">
        <v>8195</v>
      </c>
      <c r="G263" s="10">
        <v>0</v>
      </c>
      <c r="H263" s="122">
        <v>2</v>
      </c>
      <c r="I263" s="120">
        <v>-0.65300000000000002</v>
      </c>
      <c r="J263" s="106">
        <v>0.89200000000000002</v>
      </c>
      <c r="K263" s="106">
        <v>7.4999999999999997E-2</v>
      </c>
      <c r="L263" s="100">
        <v>0.27229999999999999</v>
      </c>
      <c r="M263" s="79">
        <v>7.17E-2</v>
      </c>
      <c r="N263" s="79">
        <v>7.5499999999999998E-2</v>
      </c>
      <c r="O263" s="14">
        <v>180</v>
      </c>
      <c r="P263" s="14">
        <v>60</v>
      </c>
      <c r="Q263" s="11">
        <v>1E-3</v>
      </c>
      <c r="R263" s="14">
        <v>3</v>
      </c>
      <c r="S263" s="14">
        <v>1500</v>
      </c>
      <c r="T263" s="11">
        <v>0.1</v>
      </c>
      <c r="U263" s="122">
        <v>224182</v>
      </c>
      <c r="V263" s="35"/>
      <c r="W263" s="99">
        <f t="shared" si="456"/>
        <v>2507</v>
      </c>
      <c r="X263" s="100">
        <f t="shared" si="457"/>
        <v>58.768900000000002</v>
      </c>
      <c r="Y263" s="100">
        <f t="shared" si="458"/>
        <v>17.858899999999998</v>
      </c>
      <c r="Z263" s="22">
        <f t="shared" si="459"/>
        <v>8195</v>
      </c>
      <c r="AA263" s="35">
        <f t="shared" si="460"/>
        <v>0</v>
      </c>
      <c r="AB263" s="22">
        <f t="shared" si="461"/>
        <v>2</v>
      </c>
      <c r="AC263" s="120">
        <f>ROUND(I263+mwreg!$G$30/100,3)</f>
        <v>-0.56999999999999995</v>
      </c>
      <c r="AD263" s="106">
        <f>ROUND(J263+mwreg!$G$30/100,3)</f>
        <v>0.97499999999999998</v>
      </c>
      <c r="AE263" s="106">
        <f>ROUND(K263+mwreg!$G$30/100,3)</f>
        <v>0.158</v>
      </c>
      <c r="AF263" s="100">
        <f t="shared" si="319"/>
        <v>0.27229999999999999</v>
      </c>
      <c r="AG263" s="100">
        <f t="shared" si="320"/>
        <v>7.17E-2</v>
      </c>
      <c r="AH263" s="100">
        <f t="shared" si="413"/>
        <v>7.5499999999999998E-2</v>
      </c>
      <c r="AI263" s="22">
        <f t="shared" si="414"/>
        <v>180</v>
      </c>
      <c r="AJ263" s="22">
        <f t="shared" si="415"/>
        <v>60</v>
      </c>
      <c r="AK263" s="106">
        <f t="shared" si="416"/>
        <v>1E-3</v>
      </c>
      <c r="AL263" s="22">
        <f t="shared" si="417"/>
        <v>3</v>
      </c>
      <c r="AM263" s="22">
        <f t="shared" si="418"/>
        <v>1500</v>
      </c>
      <c r="AN263" s="106">
        <f t="shared" si="419"/>
        <v>0.1</v>
      </c>
      <c r="AO263" s="184">
        <f t="shared" si="442"/>
        <v>224182</v>
      </c>
    </row>
    <row r="264" spans="1:41" x14ac:dyDescent="0.2">
      <c r="A264" s="3" t="s">
        <v>296</v>
      </c>
      <c r="B264" s="3" t="s">
        <v>296</v>
      </c>
      <c r="C264" s="55">
        <v>2507</v>
      </c>
      <c r="D264" s="79">
        <v>58.768900000000002</v>
      </c>
      <c r="E264" s="79">
        <v>17.858899999999998</v>
      </c>
      <c r="F264" s="14">
        <v>8195</v>
      </c>
      <c r="G264" s="10">
        <v>0</v>
      </c>
      <c r="H264" s="122">
        <v>3</v>
      </c>
      <c r="I264" s="120">
        <v>-0.7</v>
      </c>
      <c r="J264" s="106">
        <v>0.752</v>
      </c>
      <c r="K264" s="106">
        <v>-5.0000000000000001E-3</v>
      </c>
      <c r="L264" s="100">
        <v>0.23039999999999999</v>
      </c>
      <c r="M264" s="79">
        <v>4.9700000000000001E-2</v>
      </c>
      <c r="N264" s="79">
        <v>5.2999999999999999E-2</v>
      </c>
      <c r="O264" s="14">
        <v>180</v>
      </c>
      <c r="P264" s="14">
        <v>60</v>
      </c>
      <c r="Q264" s="11">
        <v>1E-3</v>
      </c>
      <c r="R264" s="14">
        <v>3</v>
      </c>
      <c r="S264" s="14">
        <v>1500</v>
      </c>
      <c r="T264" s="11">
        <v>0.1</v>
      </c>
      <c r="U264" s="122">
        <v>265180</v>
      </c>
      <c r="V264" s="35"/>
      <c r="W264" s="99">
        <f t="shared" si="456"/>
        <v>2507</v>
      </c>
      <c r="X264" s="100">
        <f t="shared" si="457"/>
        <v>58.768900000000002</v>
      </c>
      <c r="Y264" s="100">
        <f t="shared" si="458"/>
        <v>17.858899999999998</v>
      </c>
      <c r="Z264" s="22">
        <f t="shared" si="459"/>
        <v>8195</v>
      </c>
      <c r="AA264" s="35">
        <f t="shared" si="460"/>
        <v>0</v>
      </c>
      <c r="AB264" s="22">
        <f t="shared" si="461"/>
        <v>3</v>
      </c>
      <c r="AC264" s="120">
        <f>ROUND(I264+mwreg!$G$30/100,3)</f>
        <v>-0.61699999999999999</v>
      </c>
      <c r="AD264" s="106">
        <f>ROUND(J264+mwreg!$G$30/100,3)</f>
        <v>0.83499999999999996</v>
      </c>
      <c r="AE264" s="106">
        <f>ROUND(K264+mwreg!$G$30/100,3)</f>
        <v>7.8E-2</v>
      </c>
      <c r="AF264" s="100">
        <f t="shared" si="319"/>
        <v>0.23039999999999999</v>
      </c>
      <c r="AG264" s="100">
        <f t="shared" si="320"/>
        <v>4.9700000000000001E-2</v>
      </c>
      <c r="AH264" s="100">
        <f t="shared" si="413"/>
        <v>5.2999999999999999E-2</v>
      </c>
      <c r="AI264" s="22">
        <f t="shared" si="414"/>
        <v>180</v>
      </c>
      <c r="AJ264" s="22">
        <f t="shared" si="415"/>
        <v>60</v>
      </c>
      <c r="AK264" s="106">
        <f t="shared" si="416"/>
        <v>1E-3</v>
      </c>
      <c r="AL264" s="22">
        <f t="shared" si="417"/>
        <v>3</v>
      </c>
      <c r="AM264" s="22">
        <f t="shared" si="418"/>
        <v>1500</v>
      </c>
      <c r="AN264" s="106">
        <f t="shared" si="419"/>
        <v>0.1</v>
      </c>
      <c r="AO264" s="184">
        <f t="shared" si="442"/>
        <v>265180</v>
      </c>
    </row>
    <row r="265" spans="1:41" x14ac:dyDescent="0.2">
      <c r="A265" s="3" t="s">
        <v>296</v>
      </c>
      <c r="B265" s="3" t="s">
        <v>296</v>
      </c>
      <c r="C265" s="55">
        <v>2507</v>
      </c>
      <c r="D265" s="79">
        <v>58.768900000000002</v>
      </c>
      <c r="E265" s="79">
        <v>17.858899999999998</v>
      </c>
      <c r="F265" s="14">
        <v>8195</v>
      </c>
      <c r="G265" s="10">
        <v>0</v>
      </c>
      <c r="H265" s="122">
        <v>4</v>
      </c>
      <c r="I265" s="120">
        <v>-0.58299999999999996</v>
      </c>
      <c r="J265" s="106">
        <v>0.56100000000000005</v>
      </c>
      <c r="K265" s="106">
        <v>-8.5999999999999993E-2</v>
      </c>
      <c r="L265" s="100">
        <v>0.157</v>
      </c>
      <c r="M265" s="79">
        <v>6.6000000000000003E-2</v>
      </c>
      <c r="N265" s="79">
        <v>6.9000000000000006E-2</v>
      </c>
      <c r="O265" s="14">
        <v>180</v>
      </c>
      <c r="P265" s="14">
        <v>60</v>
      </c>
      <c r="Q265" s="11">
        <v>1E-3</v>
      </c>
      <c r="R265" s="14">
        <v>3</v>
      </c>
      <c r="S265" s="14">
        <v>1500</v>
      </c>
      <c r="T265" s="11">
        <v>0.1</v>
      </c>
      <c r="U265" s="122">
        <v>256573</v>
      </c>
      <c r="V265" s="35"/>
      <c r="W265" s="99">
        <f t="shared" si="456"/>
        <v>2507</v>
      </c>
      <c r="X265" s="100">
        <f t="shared" si="457"/>
        <v>58.768900000000002</v>
      </c>
      <c r="Y265" s="100">
        <f t="shared" si="458"/>
        <v>17.858899999999998</v>
      </c>
      <c r="Z265" s="22">
        <f t="shared" si="459"/>
        <v>8195</v>
      </c>
      <c r="AA265" s="35">
        <f t="shared" si="460"/>
        <v>0</v>
      </c>
      <c r="AB265" s="22">
        <f t="shared" si="461"/>
        <v>4</v>
      </c>
      <c r="AC265" s="120">
        <f>ROUND(I265+mwreg!$G$30/100,3)</f>
        <v>-0.5</v>
      </c>
      <c r="AD265" s="106">
        <f>ROUND(J265+mwreg!$G$30/100,3)</f>
        <v>0.64400000000000002</v>
      </c>
      <c r="AE265" s="106">
        <f>ROUND(K265+mwreg!$G$30/100,3)</f>
        <v>-3.0000000000000001E-3</v>
      </c>
      <c r="AF265" s="100">
        <f t="shared" si="319"/>
        <v>0.157</v>
      </c>
      <c r="AG265" s="100">
        <f t="shared" si="320"/>
        <v>6.6000000000000003E-2</v>
      </c>
      <c r="AH265" s="100">
        <f t="shared" si="413"/>
        <v>6.9000000000000006E-2</v>
      </c>
      <c r="AI265" s="22">
        <f t="shared" si="414"/>
        <v>180</v>
      </c>
      <c r="AJ265" s="22">
        <f t="shared" si="415"/>
        <v>60</v>
      </c>
      <c r="AK265" s="106">
        <f t="shared" si="416"/>
        <v>1E-3</v>
      </c>
      <c r="AL265" s="22">
        <f t="shared" si="417"/>
        <v>3</v>
      </c>
      <c r="AM265" s="22">
        <f t="shared" si="418"/>
        <v>1500</v>
      </c>
      <c r="AN265" s="106">
        <f t="shared" si="419"/>
        <v>0.1</v>
      </c>
      <c r="AO265" s="184">
        <f t="shared" si="442"/>
        <v>256573</v>
      </c>
    </row>
    <row r="266" spans="1:41" x14ac:dyDescent="0.2">
      <c r="A266" s="3" t="s">
        <v>296</v>
      </c>
      <c r="B266" s="3" t="s">
        <v>296</v>
      </c>
      <c r="C266" s="55">
        <v>2507</v>
      </c>
      <c r="D266" s="79">
        <v>58.768900000000002</v>
      </c>
      <c r="E266" s="79">
        <v>17.858899999999998</v>
      </c>
      <c r="F266" s="14">
        <v>8195</v>
      </c>
      <c r="G266" s="10">
        <v>0</v>
      </c>
      <c r="H266" s="122">
        <v>5</v>
      </c>
      <c r="I266" s="120">
        <v>-0.54700000000000004</v>
      </c>
      <c r="J266" s="106">
        <v>0.35899999999999999</v>
      </c>
      <c r="K266" s="106">
        <v>-7.3999999999999996E-2</v>
      </c>
      <c r="L266" s="100">
        <v>0.124</v>
      </c>
      <c r="M266" s="79">
        <v>4.2599999999999999E-2</v>
      </c>
      <c r="N266" s="79">
        <v>4.4999999999999998E-2</v>
      </c>
      <c r="O266" s="14">
        <v>180</v>
      </c>
      <c r="P266" s="14">
        <v>60</v>
      </c>
      <c r="Q266" s="11">
        <v>1E-3</v>
      </c>
      <c r="R266" s="14">
        <v>3</v>
      </c>
      <c r="S266" s="14">
        <v>1500</v>
      </c>
      <c r="T266" s="11">
        <v>0.1</v>
      </c>
      <c r="U266" s="122">
        <v>261193</v>
      </c>
      <c r="V266" s="35"/>
      <c r="W266" s="99">
        <f t="shared" si="456"/>
        <v>2507</v>
      </c>
      <c r="X266" s="100">
        <f t="shared" si="457"/>
        <v>58.768900000000002</v>
      </c>
      <c r="Y266" s="100">
        <f t="shared" si="458"/>
        <v>17.858899999999998</v>
      </c>
      <c r="Z266" s="22">
        <f t="shared" si="459"/>
        <v>8195</v>
      </c>
      <c r="AA266" s="35">
        <f t="shared" si="460"/>
        <v>0</v>
      </c>
      <c r="AB266" s="22">
        <f t="shared" si="461"/>
        <v>5</v>
      </c>
      <c r="AC266" s="120">
        <f>ROUND(I266+mwreg!$G$30/100,3)</f>
        <v>-0.46400000000000002</v>
      </c>
      <c r="AD266" s="106">
        <f>ROUND(J266+mwreg!$G$30/100,3)</f>
        <v>0.442</v>
      </c>
      <c r="AE266" s="106">
        <f>ROUND(K266+mwreg!$G$30/100,3)</f>
        <v>8.9999999999999993E-3</v>
      </c>
      <c r="AF266" s="100">
        <f t="shared" si="319"/>
        <v>0.124</v>
      </c>
      <c r="AG266" s="100">
        <f t="shared" si="320"/>
        <v>4.2599999999999999E-2</v>
      </c>
      <c r="AH266" s="100">
        <f t="shared" si="413"/>
        <v>4.4999999999999998E-2</v>
      </c>
      <c r="AI266" s="22">
        <f t="shared" si="414"/>
        <v>180</v>
      </c>
      <c r="AJ266" s="22">
        <f t="shared" si="415"/>
        <v>60</v>
      </c>
      <c r="AK266" s="106">
        <f t="shared" si="416"/>
        <v>1E-3</v>
      </c>
      <c r="AL266" s="22">
        <f t="shared" si="417"/>
        <v>3</v>
      </c>
      <c r="AM266" s="22">
        <f t="shared" si="418"/>
        <v>1500</v>
      </c>
      <c r="AN266" s="106">
        <f t="shared" si="419"/>
        <v>0.1</v>
      </c>
      <c r="AO266" s="184">
        <f t="shared" si="442"/>
        <v>261193</v>
      </c>
    </row>
    <row r="267" spans="1:41" x14ac:dyDescent="0.2">
      <c r="A267" s="3" t="s">
        <v>296</v>
      </c>
      <c r="B267" s="3" t="s">
        <v>296</v>
      </c>
      <c r="C267" s="55">
        <v>2507</v>
      </c>
      <c r="D267" s="79">
        <v>58.768900000000002</v>
      </c>
      <c r="E267" s="79">
        <v>17.858899999999998</v>
      </c>
      <c r="F267" s="14">
        <v>8195</v>
      </c>
      <c r="G267" s="10">
        <v>0</v>
      </c>
      <c r="H267" s="122">
        <v>6</v>
      </c>
      <c r="I267" s="120">
        <v>-0.39600000000000002</v>
      </c>
      <c r="J267" s="106">
        <v>0.36799999999999999</v>
      </c>
      <c r="K267" s="106">
        <v>-4.2000000000000003E-2</v>
      </c>
      <c r="L267" s="100">
        <v>0.10290000000000001</v>
      </c>
      <c r="M267" s="79">
        <v>5.74E-2</v>
      </c>
      <c r="N267" s="79">
        <v>0.06</v>
      </c>
      <c r="O267" s="14">
        <v>180</v>
      </c>
      <c r="P267" s="14">
        <v>60</v>
      </c>
      <c r="Q267" s="11">
        <v>1E-3</v>
      </c>
      <c r="R267" s="14">
        <v>3</v>
      </c>
      <c r="S267" s="14">
        <v>1500</v>
      </c>
      <c r="T267" s="11">
        <v>0.1</v>
      </c>
      <c r="U267" s="122">
        <v>252106</v>
      </c>
      <c r="V267" s="35"/>
      <c r="W267" s="99">
        <f t="shared" si="456"/>
        <v>2507</v>
      </c>
      <c r="X267" s="100">
        <f t="shared" si="457"/>
        <v>58.768900000000002</v>
      </c>
      <c r="Y267" s="100">
        <f t="shared" si="458"/>
        <v>17.858899999999998</v>
      </c>
      <c r="Z267" s="22">
        <f t="shared" si="459"/>
        <v>8195</v>
      </c>
      <c r="AA267" s="35">
        <f t="shared" si="460"/>
        <v>0</v>
      </c>
      <c r="AB267" s="22">
        <f t="shared" si="461"/>
        <v>6</v>
      </c>
      <c r="AC267" s="120">
        <f>ROUND(I267+mwreg!$G$30/100,3)</f>
        <v>-0.313</v>
      </c>
      <c r="AD267" s="106">
        <f>ROUND(J267+mwreg!$G$30/100,3)</f>
        <v>0.45100000000000001</v>
      </c>
      <c r="AE267" s="106">
        <f>ROUND(K267+mwreg!$G$30/100,3)</f>
        <v>4.1000000000000002E-2</v>
      </c>
      <c r="AF267" s="100">
        <f t="shared" ref="AF267:AF318" si="476">L267</f>
        <v>0.10290000000000001</v>
      </c>
      <c r="AG267" s="100">
        <f t="shared" ref="AG267:AG318" si="477">M267</f>
        <v>5.74E-2</v>
      </c>
      <c r="AH267" s="100">
        <f t="shared" si="413"/>
        <v>0.06</v>
      </c>
      <c r="AI267" s="22">
        <f t="shared" si="414"/>
        <v>180</v>
      </c>
      <c r="AJ267" s="22">
        <f t="shared" si="415"/>
        <v>60</v>
      </c>
      <c r="AK267" s="106">
        <f t="shared" si="416"/>
        <v>1E-3</v>
      </c>
      <c r="AL267" s="22">
        <f t="shared" si="417"/>
        <v>3</v>
      </c>
      <c r="AM267" s="22">
        <f t="shared" si="418"/>
        <v>1500</v>
      </c>
      <c r="AN267" s="106">
        <f t="shared" si="419"/>
        <v>0.1</v>
      </c>
      <c r="AO267" s="184">
        <f t="shared" si="442"/>
        <v>252106</v>
      </c>
    </row>
    <row r="268" spans="1:41" x14ac:dyDescent="0.2">
      <c r="A268" s="3" t="s">
        <v>296</v>
      </c>
      <c r="B268" s="3" t="s">
        <v>296</v>
      </c>
      <c r="C268" s="55">
        <v>2507</v>
      </c>
      <c r="D268" s="79">
        <v>58.768900000000002</v>
      </c>
      <c r="E268" s="79">
        <v>17.858899999999998</v>
      </c>
      <c r="F268" s="14">
        <v>8195</v>
      </c>
      <c r="G268" s="10">
        <v>0</v>
      </c>
      <c r="H268" s="122">
        <v>7</v>
      </c>
      <c r="I268" s="120">
        <v>-0.28799999999999998</v>
      </c>
      <c r="J268" s="106">
        <v>0.63100000000000001</v>
      </c>
      <c r="K268" s="106">
        <v>7.1999999999999995E-2</v>
      </c>
      <c r="L268" s="100">
        <v>0.106</v>
      </c>
      <c r="M268" s="79">
        <v>4.0099999999999997E-2</v>
      </c>
      <c r="N268" s="79">
        <v>4.2000000000000003E-2</v>
      </c>
      <c r="O268" s="14">
        <v>180</v>
      </c>
      <c r="P268" s="14">
        <v>60</v>
      </c>
      <c r="Q268" s="11">
        <v>1E-3</v>
      </c>
      <c r="R268" s="14">
        <v>3</v>
      </c>
      <c r="S268" s="14">
        <v>1500</v>
      </c>
      <c r="T268" s="11">
        <v>0.1</v>
      </c>
      <c r="U268" s="122">
        <v>262923</v>
      </c>
      <c r="V268" s="35"/>
      <c r="W268" s="99">
        <f t="shared" si="456"/>
        <v>2507</v>
      </c>
      <c r="X268" s="100">
        <f t="shared" si="457"/>
        <v>58.768900000000002</v>
      </c>
      <c r="Y268" s="100">
        <f t="shared" si="458"/>
        <v>17.858899999999998</v>
      </c>
      <c r="Z268" s="22">
        <f t="shared" si="459"/>
        <v>8195</v>
      </c>
      <c r="AA268" s="35">
        <f t="shared" si="460"/>
        <v>0</v>
      </c>
      <c r="AB268" s="22">
        <f t="shared" si="461"/>
        <v>7</v>
      </c>
      <c r="AC268" s="120">
        <f>ROUND(I268+mwreg!$G$30/100,3)</f>
        <v>-0.20499999999999999</v>
      </c>
      <c r="AD268" s="106">
        <f>ROUND(J268+mwreg!$G$30/100,3)</f>
        <v>0.71399999999999997</v>
      </c>
      <c r="AE268" s="106">
        <f>ROUND(K268+mwreg!$G$30/100,3)</f>
        <v>0.155</v>
      </c>
      <c r="AF268" s="100">
        <f t="shared" si="476"/>
        <v>0.106</v>
      </c>
      <c r="AG268" s="100">
        <f t="shared" si="477"/>
        <v>4.0099999999999997E-2</v>
      </c>
      <c r="AH268" s="100">
        <f t="shared" si="413"/>
        <v>4.2000000000000003E-2</v>
      </c>
      <c r="AI268" s="22">
        <f t="shared" si="414"/>
        <v>180</v>
      </c>
      <c r="AJ268" s="22">
        <f t="shared" si="415"/>
        <v>60</v>
      </c>
      <c r="AK268" s="106">
        <f t="shared" si="416"/>
        <v>1E-3</v>
      </c>
      <c r="AL268" s="22">
        <f t="shared" si="417"/>
        <v>3</v>
      </c>
      <c r="AM268" s="22">
        <f t="shared" si="418"/>
        <v>1500</v>
      </c>
      <c r="AN268" s="106">
        <f t="shared" si="419"/>
        <v>0.1</v>
      </c>
      <c r="AO268" s="184">
        <f t="shared" si="442"/>
        <v>262923</v>
      </c>
    </row>
    <row r="269" spans="1:41" x14ac:dyDescent="0.2">
      <c r="A269" s="3" t="s">
        <v>296</v>
      </c>
      <c r="B269" s="3" t="s">
        <v>296</v>
      </c>
      <c r="C269" s="55">
        <v>2507</v>
      </c>
      <c r="D269" s="79">
        <v>58.768900000000002</v>
      </c>
      <c r="E269" s="79">
        <v>17.858899999999998</v>
      </c>
      <c r="F269" s="14">
        <v>8195</v>
      </c>
      <c r="G269" s="10">
        <v>0</v>
      </c>
      <c r="H269" s="122">
        <v>8</v>
      </c>
      <c r="I269" s="120">
        <v>-0.35599999999999998</v>
      </c>
      <c r="J269" s="106">
        <v>0.53800000000000003</v>
      </c>
      <c r="K269" s="106">
        <v>0.04</v>
      </c>
      <c r="L269" s="100">
        <v>0.1052</v>
      </c>
      <c r="M269" s="79">
        <v>5.9499999999999997E-2</v>
      </c>
      <c r="N269" s="79">
        <v>6.2E-2</v>
      </c>
      <c r="O269" s="14">
        <v>180</v>
      </c>
      <c r="P269" s="14">
        <v>60</v>
      </c>
      <c r="Q269" s="11">
        <v>1E-3</v>
      </c>
      <c r="R269" s="14">
        <v>3</v>
      </c>
      <c r="S269" s="14">
        <v>1500</v>
      </c>
      <c r="T269" s="11">
        <v>0.1</v>
      </c>
      <c r="U269" s="122">
        <v>267999</v>
      </c>
      <c r="V269" s="35"/>
      <c r="W269" s="99">
        <f t="shared" si="456"/>
        <v>2507</v>
      </c>
      <c r="X269" s="100">
        <f t="shared" si="457"/>
        <v>58.768900000000002</v>
      </c>
      <c r="Y269" s="100">
        <f t="shared" si="458"/>
        <v>17.858899999999998</v>
      </c>
      <c r="Z269" s="22">
        <f t="shared" si="459"/>
        <v>8195</v>
      </c>
      <c r="AA269" s="35">
        <f t="shared" si="460"/>
        <v>0</v>
      </c>
      <c r="AB269" s="22">
        <f t="shared" si="461"/>
        <v>8</v>
      </c>
      <c r="AC269" s="120">
        <f>ROUND(I269+mwreg!$G$30/100,3)</f>
        <v>-0.27300000000000002</v>
      </c>
      <c r="AD269" s="106">
        <f>ROUND(J269+mwreg!$G$30/100,3)</f>
        <v>0.621</v>
      </c>
      <c r="AE269" s="106">
        <f>ROUND(K269+mwreg!$G$30/100,3)</f>
        <v>0.123</v>
      </c>
      <c r="AF269" s="100">
        <f t="shared" si="476"/>
        <v>0.1052</v>
      </c>
      <c r="AG269" s="100">
        <f t="shared" si="477"/>
        <v>5.9499999999999997E-2</v>
      </c>
      <c r="AH269" s="100">
        <f t="shared" si="413"/>
        <v>6.2E-2</v>
      </c>
      <c r="AI269" s="22">
        <f t="shared" si="414"/>
        <v>180</v>
      </c>
      <c r="AJ269" s="22">
        <f t="shared" si="415"/>
        <v>60</v>
      </c>
      <c r="AK269" s="106">
        <f t="shared" si="416"/>
        <v>1E-3</v>
      </c>
      <c r="AL269" s="22">
        <f t="shared" si="417"/>
        <v>3</v>
      </c>
      <c r="AM269" s="22">
        <f t="shared" si="418"/>
        <v>1500</v>
      </c>
      <c r="AN269" s="106">
        <f t="shared" si="419"/>
        <v>0.1</v>
      </c>
      <c r="AO269" s="184">
        <f t="shared" si="442"/>
        <v>267999</v>
      </c>
    </row>
    <row r="270" spans="1:41" x14ac:dyDescent="0.2">
      <c r="A270" s="3" t="s">
        <v>296</v>
      </c>
      <c r="B270" s="3" t="s">
        <v>296</v>
      </c>
      <c r="C270" s="55">
        <v>2507</v>
      </c>
      <c r="D270" s="79">
        <v>58.768900000000002</v>
      </c>
      <c r="E270" s="79">
        <v>17.858899999999998</v>
      </c>
      <c r="F270" s="14">
        <v>8195</v>
      </c>
      <c r="G270" s="10">
        <v>0</v>
      </c>
      <c r="H270" s="122">
        <v>9</v>
      </c>
      <c r="I270" s="120">
        <v>-0.42899999999999999</v>
      </c>
      <c r="J270" s="106">
        <v>0.64800000000000002</v>
      </c>
      <c r="K270" s="106">
        <v>0.08</v>
      </c>
      <c r="L270" s="100">
        <v>0.12870000000000001</v>
      </c>
      <c r="M270" s="79">
        <v>4.7899999999999998E-2</v>
      </c>
      <c r="N270" s="79">
        <v>5.0999999999999997E-2</v>
      </c>
      <c r="O270" s="14">
        <v>180</v>
      </c>
      <c r="P270" s="14">
        <v>60</v>
      </c>
      <c r="Q270" s="11">
        <v>1E-3</v>
      </c>
      <c r="R270" s="14">
        <v>3</v>
      </c>
      <c r="S270" s="14">
        <v>1500</v>
      </c>
      <c r="T270" s="11">
        <v>0.1</v>
      </c>
      <c r="U270" s="122">
        <v>266830</v>
      </c>
      <c r="V270" s="35"/>
      <c r="W270" s="99">
        <f t="shared" si="456"/>
        <v>2507</v>
      </c>
      <c r="X270" s="100">
        <f t="shared" si="457"/>
        <v>58.768900000000002</v>
      </c>
      <c r="Y270" s="100">
        <f t="shared" si="458"/>
        <v>17.858899999999998</v>
      </c>
      <c r="Z270" s="22">
        <f t="shared" si="459"/>
        <v>8195</v>
      </c>
      <c r="AA270" s="35">
        <f t="shared" si="460"/>
        <v>0</v>
      </c>
      <c r="AB270" s="22">
        <f t="shared" si="461"/>
        <v>9</v>
      </c>
      <c r="AC270" s="120">
        <f>ROUND(I270+mwreg!$G$30/100,3)</f>
        <v>-0.34599999999999997</v>
      </c>
      <c r="AD270" s="106">
        <f>ROUND(J270+mwreg!$G$30/100,3)</f>
        <v>0.73099999999999998</v>
      </c>
      <c r="AE270" s="106">
        <f>ROUND(K270+mwreg!$G$30/100,3)</f>
        <v>0.16300000000000001</v>
      </c>
      <c r="AF270" s="100">
        <f t="shared" si="476"/>
        <v>0.12870000000000001</v>
      </c>
      <c r="AG270" s="100">
        <f t="shared" si="477"/>
        <v>4.7899999999999998E-2</v>
      </c>
      <c r="AH270" s="100">
        <f t="shared" si="413"/>
        <v>5.0999999999999997E-2</v>
      </c>
      <c r="AI270" s="22">
        <f t="shared" si="414"/>
        <v>180</v>
      </c>
      <c r="AJ270" s="22">
        <f t="shared" si="415"/>
        <v>60</v>
      </c>
      <c r="AK270" s="106">
        <f t="shared" si="416"/>
        <v>1E-3</v>
      </c>
      <c r="AL270" s="22">
        <f t="shared" si="417"/>
        <v>3</v>
      </c>
      <c r="AM270" s="22">
        <f t="shared" si="418"/>
        <v>1500</v>
      </c>
      <c r="AN270" s="106">
        <f t="shared" si="419"/>
        <v>0.1</v>
      </c>
      <c r="AO270" s="184">
        <f t="shared" si="442"/>
        <v>266830</v>
      </c>
    </row>
    <row r="271" spans="1:41" x14ac:dyDescent="0.2">
      <c r="A271" s="3" t="s">
        <v>296</v>
      </c>
      <c r="B271" s="3" t="s">
        <v>296</v>
      </c>
      <c r="C271" s="55">
        <v>2507</v>
      </c>
      <c r="D271" s="79">
        <v>58.768900000000002</v>
      </c>
      <c r="E271" s="79">
        <v>17.858899999999998</v>
      </c>
      <c r="F271" s="14">
        <v>8195</v>
      </c>
      <c r="G271" s="10">
        <v>0</v>
      </c>
      <c r="H271" s="122">
        <v>10</v>
      </c>
      <c r="I271" s="120">
        <v>-0.53900000000000003</v>
      </c>
      <c r="J271" s="106">
        <v>0.81499999999999995</v>
      </c>
      <c r="K271" s="106">
        <v>4.1000000000000002E-2</v>
      </c>
      <c r="L271" s="100">
        <v>0.15920000000000001</v>
      </c>
      <c r="M271" s="79">
        <v>6.93E-2</v>
      </c>
      <c r="N271" s="79">
        <v>7.2999999999999995E-2</v>
      </c>
      <c r="O271" s="14">
        <v>180</v>
      </c>
      <c r="P271" s="14">
        <v>60</v>
      </c>
      <c r="Q271" s="11">
        <v>1E-3</v>
      </c>
      <c r="R271" s="14">
        <v>3</v>
      </c>
      <c r="S271" s="14">
        <v>1500</v>
      </c>
      <c r="T271" s="11">
        <v>0.1</v>
      </c>
      <c r="U271" s="122">
        <v>263658</v>
      </c>
      <c r="V271" s="35"/>
      <c r="W271" s="99">
        <f t="shared" si="456"/>
        <v>2507</v>
      </c>
      <c r="X271" s="100">
        <f t="shared" si="457"/>
        <v>58.768900000000002</v>
      </c>
      <c r="Y271" s="100">
        <f t="shared" si="458"/>
        <v>17.858899999999998</v>
      </c>
      <c r="Z271" s="22">
        <f t="shared" si="459"/>
        <v>8195</v>
      </c>
      <c r="AA271" s="35">
        <f t="shared" si="460"/>
        <v>0</v>
      </c>
      <c r="AB271" s="22">
        <f t="shared" si="461"/>
        <v>10</v>
      </c>
      <c r="AC271" s="120">
        <f>ROUND(I271+mwreg!$G$30/100,3)</f>
        <v>-0.45600000000000002</v>
      </c>
      <c r="AD271" s="106">
        <f>ROUND(J271+mwreg!$G$30/100,3)</f>
        <v>0.89800000000000002</v>
      </c>
      <c r="AE271" s="106">
        <f>ROUND(K271+mwreg!$G$30/100,3)</f>
        <v>0.124</v>
      </c>
      <c r="AF271" s="100">
        <f t="shared" si="476"/>
        <v>0.15920000000000001</v>
      </c>
      <c r="AG271" s="100">
        <f t="shared" si="477"/>
        <v>6.93E-2</v>
      </c>
      <c r="AH271" s="100">
        <f t="shared" si="413"/>
        <v>7.2999999999999995E-2</v>
      </c>
      <c r="AI271" s="22">
        <f t="shared" si="414"/>
        <v>180</v>
      </c>
      <c r="AJ271" s="22">
        <f t="shared" si="415"/>
        <v>60</v>
      </c>
      <c r="AK271" s="106">
        <f t="shared" si="416"/>
        <v>1E-3</v>
      </c>
      <c r="AL271" s="22">
        <f t="shared" si="417"/>
        <v>3</v>
      </c>
      <c r="AM271" s="22">
        <f t="shared" si="418"/>
        <v>1500</v>
      </c>
      <c r="AN271" s="106">
        <f t="shared" si="419"/>
        <v>0.1</v>
      </c>
      <c r="AO271" s="184">
        <f t="shared" si="442"/>
        <v>263658</v>
      </c>
    </row>
    <row r="272" spans="1:41" x14ac:dyDescent="0.2">
      <c r="A272" s="3" t="s">
        <v>296</v>
      </c>
      <c r="B272" s="3" t="s">
        <v>296</v>
      </c>
      <c r="C272" s="55">
        <v>2507</v>
      </c>
      <c r="D272" s="79">
        <v>58.768900000000002</v>
      </c>
      <c r="E272" s="79">
        <v>17.858899999999998</v>
      </c>
      <c r="F272" s="14">
        <v>8195</v>
      </c>
      <c r="G272" s="10">
        <v>0</v>
      </c>
      <c r="H272" s="122">
        <v>11</v>
      </c>
      <c r="I272" s="120">
        <v>-0.50800000000000001</v>
      </c>
      <c r="J272" s="106">
        <v>0.746</v>
      </c>
      <c r="K272" s="106">
        <v>0.06</v>
      </c>
      <c r="L272" s="100">
        <v>0.18590000000000001</v>
      </c>
      <c r="M272" s="79">
        <v>8.3599999999999994E-2</v>
      </c>
      <c r="N272" s="79">
        <v>8.7999999999999995E-2</v>
      </c>
      <c r="O272" s="14">
        <v>180</v>
      </c>
      <c r="P272" s="14">
        <v>60</v>
      </c>
      <c r="Q272" s="11">
        <v>1E-3</v>
      </c>
      <c r="R272" s="14">
        <v>3</v>
      </c>
      <c r="S272" s="14">
        <v>1500</v>
      </c>
      <c r="T272" s="11">
        <v>0.1</v>
      </c>
      <c r="U272" s="122">
        <v>256675</v>
      </c>
      <c r="V272" s="35"/>
      <c r="W272" s="99">
        <f t="shared" si="456"/>
        <v>2507</v>
      </c>
      <c r="X272" s="100">
        <f t="shared" si="457"/>
        <v>58.768900000000002</v>
      </c>
      <c r="Y272" s="100">
        <f t="shared" si="458"/>
        <v>17.858899999999998</v>
      </c>
      <c r="Z272" s="22">
        <f t="shared" si="459"/>
        <v>8195</v>
      </c>
      <c r="AA272" s="35">
        <f t="shared" si="460"/>
        <v>0</v>
      </c>
      <c r="AB272" s="22">
        <f t="shared" si="461"/>
        <v>11</v>
      </c>
      <c r="AC272" s="120">
        <f>ROUND(I272+mwreg!$G$30/100,3)</f>
        <v>-0.42499999999999999</v>
      </c>
      <c r="AD272" s="106">
        <f>ROUND(J272+mwreg!$G$30/100,3)</f>
        <v>0.82899999999999996</v>
      </c>
      <c r="AE272" s="106">
        <f>ROUND(K272+mwreg!$G$30/100,3)</f>
        <v>0.14299999999999999</v>
      </c>
      <c r="AF272" s="100">
        <f t="shared" si="476"/>
        <v>0.18590000000000001</v>
      </c>
      <c r="AG272" s="100">
        <f t="shared" si="477"/>
        <v>8.3599999999999994E-2</v>
      </c>
      <c r="AH272" s="100">
        <f t="shared" si="413"/>
        <v>8.7999999999999995E-2</v>
      </c>
      <c r="AI272" s="22">
        <f t="shared" si="414"/>
        <v>180</v>
      </c>
      <c r="AJ272" s="22">
        <f t="shared" si="415"/>
        <v>60</v>
      </c>
      <c r="AK272" s="106">
        <f t="shared" si="416"/>
        <v>1E-3</v>
      </c>
      <c r="AL272" s="22">
        <f t="shared" si="417"/>
        <v>3</v>
      </c>
      <c r="AM272" s="22">
        <f t="shared" si="418"/>
        <v>1500</v>
      </c>
      <c r="AN272" s="106">
        <f t="shared" si="419"/>
        <v>0.1</v>
      </c>
      <c r="AO272" s="184">
        <f t="shared" si="442"/>
        <v>256675</v>
      </c>
    </row>
    <row r="273" spans="1:41" x14ac:dyDescent="0.2">
      <c r="A273" s="3" t="s">
        <v>296</v>
      </c>
      <c r="B273" s="3" t="s">
        <v>296</v>
      </c>
      <c r="C273" s="55">
        <v>2507</v>
      </c>
      <c r="D273" s="79">
        <v>58.768900000000002</v>
      </c>
      <c r="E273" s="79">
        <v>17.858899999999998</v>
      </c>
      <c r="F273" s="14">
        <v>8195</v>
      </c>
      <c r="G273" s="10">
        <v>0</v>
      </c>
      <c r="H273" s="122">
        <v>12</v>
      </c>
      <c r="I273" s="120">
        <v>-0.58799999999999997</v>
      </c>
      <c r="J273" s="106">
        <v>0.89800000000000002</v>
      </c>
      <c r="K273" s="106">
        <v>0.11799999999999999</v>
      </c>
      <c r="L273" s="100">
        <v>0.1988</v>
      </c>
      <c r="M273" s="79">
        <v>7.1599999999999997E-2</v>
      </c>
      <c r="N273" s="79">
        <v>7.5999999999999998E-2</v>
      </c>
      <c r="O273" s="14">
        <v>180</v>
      </c>
      <c r="P273" s="14">
        <v>60</v>
      </c>
      <c r="Q273" s="11">
        <v>1E-3</v>
      </c>
      <c r="R273" s="14">
        <v>3</v>
      </c>
      <c r="S273" s="14">
        <v>1500</v>
      </c>
      <c r="T273" s="11">
        <v>0.1</v>
      </c>
      <c r="U273" s="122">
        <v>226515</v>
      </c>
      <c r="V273" s="35"/>
      <c r="W273" s="99">
        <f t="shared" si="456"/>
        <v>2507</v>
      </c>
      <c r="X273" s="100">
        <f t="shared" si="457"/>
        <v>58.768900000000002</v>
      </c>
      <c r="Y273" s="100">
        <f t="shared" si="458"/>
        <v>17.858899999999998</v>
      </c>
      <c r="Z273" s="22">
        <f t="shared" si="459"/>
        <v>8195</v>
      </c>
      <c r="AA273" s="35">
        <f t="shared" si="460"/>
        <v>0</v>
      </c>
      <c r="AB273" s="22">
        <f t="shared" si="461"/>
        <v>12</v>
      </c>
      <c r="AC273" s="120">
        <f>ROUND(I273+mwreg!$G$30/100,3)</f>
        <v>-0.505</v>
      </c>
      <c r="AD273" s="106">
        <f>ROUND(J273+mwreg!$G$30/100,3)</f>
        <v>0.98099999999999998</v>
      </c>
      <c r="AE273" s="106">
        <f>ROUND(K273+mwreg!$G$30/100,3)</f>
        <v>0.20100000000000001</v>
      </c>
      <c r="AF273" s="100">
        <f t="shared" si="476"/>
        <v>0.1988</v>
      </c>
      <c r="AG273" s="100">
        <f t="shared" si="477"/>
        <v>7.1599999999999997E-2</v>
      </c>
      <c r="AH273" s="100">
        <f t="shared" si="413"/>
        <v>7.5999999999999998E-2</v>
      </c>
      <c r="AI273" s="22">
        <f t="shared" si="414"/>
        <v>180</v>
      </c>
      <c r="AJ273" s="22">
        <f t="shared" si="415"/>
        <v>60</v>
      </c>
      <c r="AK273" s="106">
        <f t="shared" si="416"/>
        <v>1E-3</v>
      </c>
      <c r="AL273" s="22">
        <f t="shared" si="417"/>
        <v>3</v>
      </c>
      <c r="AM273" s="22">
        <f t="shared" si="418"/>
        <v>1500</v>
      </c>
      <c r="AN273" s="106">
        <f t="shared" si="419"/>
        <v>0.1</v>
      </c>
      <c r="AO273" s="184">
        <f t="shared" si="442"/>
        <v>226515</v>
      </c>
    </row>
    <row r="274" spans="1:41" x14ac:dyDescent="0.2">
      <c r="A274" s="194" t="str">
        <f>stat_uppg!A31</f>
        <v>2073/33076</v>
      </c>
      <c r="B274" s="194" t="str">
        <f>stat_uppg!B31</f>
        <v>Landsort (SMHI) nedlagd</v>
      </c>
      <c r="C274" s="52">
        <v>2073</v>
      </c>
      <c r="D274" s="105">
        <v>58.75</v>
      </c>
      <c r="E274" s="105">
        <v>17.866700000000002</v>
      </c>
      <c r="F274" s="20">
        <v>8195</v>
      </c>
      <c r="G274" s="18">
        <v>0</v>
      </c>
      <c r="H274" s="53">
        <v>1</v>
      </c>
      <c r="I274" s="167">
        <f t="shared" ref="I274:K285" si="478">ROUND(I262,3)</f>
        <v>-0.622</v>
      </c>
      <c r="J274" s="104">
        <f t="shared" si="478"/>
        <v>0.95199999999999996</v>
      </c>
      <c r="K274" s="104">
        <f t="shared" si="478"/>
        <v>0.129</v>
      </c>
      <c r="L274" s="105">
        <f>ROUND(L262,4)</f>
        <v>0.25369999999999998</v>
      </c>
      <c r="M274" s="105">
        <f>ROUND(M262,4)</f>
        <v>6.8400000000000002E-2</v>
      </c>
      <c r="N274" s="105">
        <f>ROUND(N262,4)</f>
        <v>7.2999999999999995E-2</v>
      </c>
      <c r="O274" s="20">
        <f t="shared" ref="O274:P285" si="479">ROUND(O262,0)</f>
        <v>180</v>
      </c>
      <c r="P274" s="20">
        <f t="shared" si="479"/>
        <v>60</v>
      </c>
      <c r="Q274" s="104">
        <f t="shared" ref="Q274:Q285" si="480">ROUND(Q262,3)</f>
        <v>1E-3</v>
      </c>
      <c r="R274" s="20">
        <f t="shared" ref="R274:S285" si="481">ROUND(R262,0)</f>
        <v>3</v>
      </c>
      <c r="S274" s="20">
        <f t="shared" si="481"/>
        <v>1500</v>
      </c>
      <c r="T274" s="104">
        <f t="shared" ref="T274:T285" si="482">ROUND(T262,3)</f>
        <v>0.1</v>
      </c>
      <c r="U274" s="54" t="s">
        <v>282</v>
      </c>
      <c r="V274" s="44"/>
      <c r="W274" s="58">
        <f t="shared" ref="W274:W305" si="483">C274</f>
        <v>2073</v>
      </c>
      <c r="X274" s="102">
        <f t="shared" ref="X274:X285" si="484">ROUND(D274,4)</f>
        <v>58.75</v>
      </c>
      <c r="Y274" s="102">
        <f t="shared" ref="Y274:Y285" si="485">ROUND(E274,4)</f>
        <v>17.866700000000002</v>
      </c>
      <c r="Z274" s="21">
        <f t="shared" ref="Z274:Z305" si="486">F274</f>
        <v>8195</v>
      </c>
      <c r="AA274" s="44">
        <f t="shared" ref="AA274:AA305" si="487">G274</f>
        <v>0</v>
      </c>
      <c r="AB274" s="21">
        <f t="shared" ref="AB274:AB305" si="488">H274</f>
        <v>1</v>
      </c>
      <c r="AC274" s="121">
        <f>ROUND(I274+mwreg!$G$31/100,3)</f>
        <v>-0.53900000000000003</v>
      </c>
      <c r="AD274" s="101">
        <f>ROUND(J274+mwreg!$G$31/100,3)</f>
        <v>1.0349999999999999</v>
      </c>
      <c r="AE274" s="101">
        <f>ROUND(K274+mwreg!$G$31/100,3)</f>
        <v>0.21199999999999999</v>
      </c>
      <c r="AF274" s="102">
        <f t="shared" si="476"/>
        <v>0.25369999999999998</v>
      </c>
      <c r="AG274" s="102">
        <f t="shared" si="477"/>
        <v>6.8400000000000002E-2</v>
      </c>
      <c r="AH274" s="102">
        <f t="shared" si="413"/>
        <v>7.2999999999999995E-2</v>
      </c>
      <c r="AI274" s="21">
        <f t="shared" si="414"/>
        <v>180</v>
      </c>
      <c r="AJ274" s="21">
        <f t="shared" si="415"/>
        <v>60</v>
      </c>
      <c r="AK274" s="101">
        <f t="shared" si="416"/>
        <v>1E-3</v>
      </c>
      <c r="AL274" s="21">
        <f t="shared" si="417"/>
        <v>3</v>
      </c>
      <c r="AM274" s="21">
        <f t="shared" si="418"/>
        <v>1500</v>
      </c>
      <c r="AN274" s="101">
        <f t="shared" si="419"/>
        <v>0.1</v>
      </c>
      <c r="AO274" s="185" t="str">
        <f t="shared" si="442"/>
        <v>NaN</v>
      </c>
    </row>
    <row r="275" spans="1:41" x14ac:dyDescent="0.2">
      <c r="A275" s="194" t="s">
        <v>296</v>
      </c>
      <c r="B275" s="194" t="s">
        <v>296</v>
      </c>
      <c r="C275" s="52">
        <v>2073</v>
      </c>
      <c r="D275" s="105">
        <v>58.75</v>
      </c>
      <c r="E275" s="105">
        <v>17.866700000000002</v>
      </c>
      <c r="F275" s="20">
        <v>8195</v>
      </c>
      <c r="G275" s="18">
        <v>0</v>
      </c>
      <c r="H275" s="53">
        <v>2</v>
      </c>
      <c r="I275" s="167">
        <f t="shared" si="478"/>
        <v>-0.65300000000000002</v>
      </c>
      <c r="J275" s="104">
        <f t="shared" si="478"/>
        <v>0.89200000000000002</v>
      </c>
      <c r="K275" s="104">
        <f t="shared" si="478"/>
        <v>7.4999999999999997E-2</v>
      </c>
      <c r="L275" s="105">
        <f t="shared" ref="L275:L285" si="489">ROUND(L263,4)</f>
        <v>0.27229999999999999</v>
      </c>
      <c r="M275" s="105">
        <f t="shared" ref="M275:N285" si="490">M263</f>
        <v>7.17E-2</v>
      </c>
      <c r="N275" s="105">
        <f t="shared" si="490"/>
        <v>7.5499999999999998E-2</v>
      </c>
      <c r="O275" s="20">
        <f t="shared" si="479"/>
        <v>180</v>
      </c>
      <c r="P275" s="20">
        <f t="shared" si="479"/>
        <v>60</v>
      </c>
      <c r="Q275" s="104">
        <f t="shared" si="480"/>
        <v>1E-3</v>
      </c>
      <c r="R275" s="20">
        <f t="shared" si="481"/>
        <v>3</v>
      </c>
      <c r="S275" s="20">
        <f t="shared" si="481"/>
        <v>1500</v>
      </c>
      <c r="T275" s="104">
        <f t="shared" si="482"/>
        <v>0.1</v>
      </c>
      <c r="U275" s="54" t="s">
        <v>282</v>
      </c>
      <c r="V275" s="44"/>
      <c r="W275" s="58">
        <f t="shared" si="483"/>
        <v>2073</v>
      </c>
      <c r="X275" s="102">
        <f t="shared" si="484"/>
        <v>58.75</v>
      </c>
      <c r="Y275" s="102">
        <f t="shared" si="485"/>
        <v>17.866700000000002</v>
      </c>
      <c r="Z275" s="21">
        <f t="shared" si="486"/>
        <v>8195</v>
      </c>
      <c r="AA275" s="44">
        <f t="shared" si="487"/>
        <v>0</v>
      </c>
      <c r="AB275" s="21">
        <f t="shared" si="488"/>
        <v>2</v>
      </c>
      <c r="AC275" s="121">
        <f>ROUND(I275+mwreg!$G$31/100,3)</f>
        <v>-0.56999999999999995</v>
      </c>
      <c r="AD275" s="101">
        <f>ROUND(J275+mwreg!$G$31/100,3)</f>
        <v>0.97499999999999998</v>
      </c>
      <c r="AE275" s="101">
        <f>ROUND(K275+mwreg!$G$31/100,3)</f>
        <v>0.158</v>
      </c>
      <c r="AF275" s="102">
        <f t="shared" si="476"/>
        <v>0.27229999999999999</v>
      </c>
      <c r="AG275" s="102">
        <f t="shared" si="477"/>
        <v>7.17E-2</v>
      </c>
      <c r="AH275" s="102">
        <f t="shared" si="413"/>
        <v>7.5499999999999998E-2</v>
      </c>
      <c r="AI275" s="21">
        <f t="shared" si="414"/>
        <v>180</v>
      </c>
      <c r="AJ275" s="21">
        <f t="shared" si="415"/>
        <v>60</v>
      </c>
      <c r="AK275" s="101">
        <f t="shared" si="416"/>
        <v>1E-3</v>
      </c>
      <c r="AL275" s="21">
        <f t="shared" si="417"/>
        <v>3</v>
      </c>
      <c r="AM275" s="21">
        <f t="shared" si="418"/>
        <v>1500</v>
      </c>
      <c r="AN275" s="101">
        <f t="shared" si="419"/>
        <v>0.1</v>
      </c>
      <c r="AO275" s="185" t="str">
        <f t="shared" si="442"/>
        <v>NaN</v>
      </c>
    </row>
    <row r="276" spans="1:41" x14ac:dyDescent="0.2">
      <c r="A276" s="194" t="s">
        <v>296</v>
      </c>
      <c r="B276" s="194" t="s">
        <v>296</v>
      </c>
      <c r="C276" s="52">
        <v>2073</v>
      </c>
      <c r="D276" s="105">
        <v>58.75</v>
      </c>
      <c r="E276" s="105">
        <v>17.866700000000002</v>
      </c>
      <c r="F276" s="20">
        <v>8195</v>
      </c>
      <c r="G276" s="18">
        <v>0</v>
      </c>
      <c r="H276" s="53">
        <v>3</v>
      </c>
      <c r="I276" s="167">
        <f t="shared" si="478"/>
        <v>-0.7</v>
      </c>
      <c r="J276" s="104">
        <f t="shared" si="478"/>
        <v>0.752</v>
      </c>
      <c r="K276" s="104">
        <f t="shared" si="478"/>
        <v>-5.0000000000000001E-3</v>
      </c>
      <c r="L276" s="105">
        <f t="shared" si="489"/>
        <v>0.23039999999999999</v>
      </c>
      <c r="M276" s="105">
        <f t="shared" si="490"/>
        <v>4.9700000000000001E-2</v>
      </c>
      <c r="N276" s="105">
        <f t="shared" si="490"/>
        <v>5.2999999999999999E-2</v>
      </c>
      <c r="O276" s="20">
        <f t="shared" si="479"/>
        <v>180</v>
      </c>
      <c r="P276" s="20">
        <f t="shared" si="479"/>
        <v>60</v>
      </c>
      <c r="Q276" s="104">
        <f t="shared" si="480"/>
        <v>1E-3</v>
      </c>
      <c r="R276" s="20">
        <f t="shared" si="481"/>
        <v>3</v>
      </c>
      <c r="S276" s="20">
        <f t="shared" si="481"/>
        <v>1500</v>
      </c>
      <c r="T276" s="104">
        <f t="shared" si="482"/>
        <v>0.1</v>
      </c>
      <c r="U276" s="54" t="s">
        <v>282</v>
      </c>
      <c r="V276" s="44"/>
      <c r="W276" s="58">
        <f t="shared" si="483"/>
        <v>2073</v>
      </c>
      <c r="X276" s="102">
        <f t="shared" si="484"/>
        <v>58.75</v>
      </c>
      <c r="Y276" s="102">
        <f t="shared" si="485"/>
        <v>17.866700000000002</v>
      </c>
      <c r="Z276" s="21">
        <f t="shared" si="486"/>
        <v>8195</v>
      </c>
      <c r="AA276" s="44">
        <f t="shared" si="487"/>
        <v>0</v>
      </c>
      <c r="AB276" s="21">
        <f t="shared" si="488"/>
        <v>3</v>
      </c>
      <c r="AC276" s="121">
        <f>ROUND(I276+mwreg!$G$31/100,3)</f>
        <v>-0.61699999999999999</v>
      </c>
      <c r="AD276" s="101">
        <f>ROUND(J276+mwreg!$G$31/100,3)</f>
        <v>0.83499999999999996</v>
      </c>
      <c r="AE276" s="101">
        <f>ROUND(K276+mwreg!$G$31/100,3)</f>
        <v>7.8E-2</v>
      </c>
      <c r="AF276" s="102">
        <f t="shared" si="476"/>
        <v>0.23039999999999999</v>
      </c>
      <c r="AG276" s="102">
        <f t="shared" si="477"/>
        <v>4.9700000000000001E-2</v>
      </c>
      <c r="AH276" s="102">
        <f t="shared" si="413"/>
        <v>5.2999999999999999E-2</v>
      </c>
      <c r="AI276" s="21">
        <f t="shared" si="414"/>
        <v>180</v>
      </c>
      <c r="AJ276" s="21">
        <f t="shared" si="415"/>
        <v>60</v>
      </c>
      <c r="AK276" s="101">
        <f t="shared" si="416"/>
        <v>1E-3</v>
      </c>
      <c r="AL276" s="21">
        <f t="shared" si="417"/>
        <v>3</v>
      </c>
      <c r="AM276" s="21">
        <f t="shared" si="418"/>
        <v>1500</v>
      </c>
      <c r="AN276" s="101">
        <f t="shared" si="419"/>
        <v>0.1</v>
      </c>
      <c r="AO276" s="185" t="str">
        <f t="shared" si="442"/>
        <v>NaN</v>
      </c>
    </row>
    <row r="277" spans="1:41" x14ac:dyDescent="0.2">
      <c r="A277" s="194" t="s">
        <v>296</v>
      </c>
      <c r="B277" s="194" t="s">
        <v>296</v>
      </c>
      <c r="C277" s="52">
        <v>2073</v>
      </c>
      <c r="D277" s="105">
        <v>58.75</v>
      </c>
      <c r="E277" s="105">
        <v>17.866700000000002</v>
      </c>
      <c r="F277" s="20">
        <v>8195</v>
      </c>
      <c r="G277" s="18">
        <v>0</v>
      </c>
      <c r="H277" s="53">
        <v>4</v>
      </c>
      <c r="I277" s="167">
        <f t="shared" si="478"/>
        <v>-0.58299999999999996</v>
      </c>
      <c r="J277" s="104">
        <f t="shared" si="478"/>
        <v>0.56100000000000005</v>
      </c>
      <c r="K277" s="104">
        <f t="shared" si="478"/>
        <v>-8.5999999999999993E-2</v>
      </c>
      <c r="L277" s="105">
        <f t="shared" si="489"/>
        <v>0.157</v>
      </c>
      <c r="M277" s="105">
        <f t="shared" si="490"/>
        <v>6.6000000000000003E-2</v>
      </c>
      <c r="N277" s="105">
        <f t="shared" si="490"/>
        <v>6.9000000000000006E-2</v>
      </c>
      <c r="O277" s="20">
        <f t="shared" si="479"/>
        <v>180</v>
      </c>
      <c r="P277" s="20">
        <f t="shared" si="479"/>
        <v>60</v>
      </c>
      <c r="Q277" s="104">
        <f t="shared" si="480"/>
        <v>1E-3</v>
      </c>
      <c r="R277" s="20">
        <f t="shared" si="481"/>
        <v>3</v>
      </c>
      <c r="S277" s="20">
        <f t="shared" si="481"/>
        <v>1500</v>
      </c>
      <c r="T277" s="104">
        <f t="shared" si="482"/>
        <v>0.1</v>
      </c>
      <c r="U277" s="54" t="s">
        <v>282</v>
      </c>
      <c r="V277" s="44"/>
      <c r="W277" s="58">
        <f t="shared" si="483"/>
        <v>2073</v>
      </c>
      <c r="X277" s="102">
        <f t="shared" si="484"/>
        <v>58.75</v>
      </c>
      <c r="Y277" s="102">
        <f t="shared" si="485"/>
        <v>17.866700000000002</v>
      </c>
      <c r="Z277" s="21">
        <f t="shared" si="486"/>
        <v>8195</v>
      </c>
      <c r="AA277" s="44">
        <f t="shared" si="487"/>
        <v>0</v>
      </c>
      <c r="AB277" s="21">
        <f t="shared" si="488"/>
        <v>4</v>
      </c>
      <c r="AC277" s="121">
        <f>ROUND(I277+mwreg!$G$31/100,3)</f>
        <v>-0.5</v>
      </c>
      <c r="AD277" s="101">
        <f>ROUND(J277+mwreg!$G$31/100,3)</f>
        <v>0.64400000000000002</v>
      </c>
      <c r="AE277" s="101">
        <f>ROUND(K277+mwreg!$G$31/100,3)</f>
        <v>-3.0000000000000001E-3</v>
      </c>
      <c r="AF277" s="102">
        <f t="shared" si="476"/>
        <v>0.157</v>
      </c>
      <c r="AG277" s="102">
        <f t="shared" si="477"/>
        <v>6.6000000000000003E-2</v>
      </c>
      <c r="AH277" s="102">
        <f t="shared" si="413"/>
        <v>6.9000000000000006E-2</v>
      </c>
      <c r="AI277" s="21">
        <f t="shared" si="414"/>
        <v>180</v>
      </c>
      <c r="AJ277" s="21">
        <f t="shared" si="415"/>
        <v>60</v>
      </c>
      <c r="AK277" s="101">
        <f t="shared" si="416"/>
        <v>1E-3</v>
      </c>
      <c r="AL277" s="21">
        <f t="shared" si="417"/>
        <v>3</v>
      </c>
      <c r="AM277" s="21">
        <f t="shared" si="418"/>
        <v>1500</v>
      </c>
      <c r="AN277" s="101">
        <f t="shared" si="419"/>
        <v>0.1</v>
      </c>
      <c r="AO277" s="185" t="str">
        <f t="shared" si="442"/>
        <v>NaN</v>
      </c>
    </row>
    <row r="278" spans="1:41" x14ac:dyDescent="0.2">
      <c r="A278" s="194" t="s">
        <v>296</v>
      </c>
      <c r="B278" s="194" t="s">
        <v>296</v>
      </c>
      <c r="C278" s="52">
        <v>2073</v>
      </c>
      <c r="D278" s="105">
        <v>58.75</v>
      </c>
      <c r="E278" s="105">
        <v>17.866700000000002</v>
      </c>
      <c r="F278" s="20">
        <v>8195</v>
      </c>
      <c r="G278" s="18">
        <v>0</v>
      </c>
      <c r="H278" s="53">
        <v>5</v>
      </c>
      <c r="I278" s="167">
        <f t="shared" si="478"/>
        <v>-0.54700000000000004</v>
      </c>
      <c r="J278" s="104">
        <f t="shared" si="478"/>
        <v>0.35899999999999999</v>
      </c>
      <c r="K278" s="104">
        <f t="shared" si="478"/>
        <v>-7.3999999999999996E-2</v>
      </c>
      <c r="L278" s="105">
        <f t="shared" si="489"/>
        <v>0.124</v>
      </c>
      <c r="M278" s="105">
        <f t="shared" si="490"/>
        <v>4.2599999999999999E-2</v>
      </c>
      <c r="N278" s="105">
        <f t="shared" si="490"/>
        <v>4.4999999999999998E-2</v>
      </c>
      <c r="O278" s="20">
        <f t="shared" si="479"/>
        <v>180</v>
      </c>
      <c r="P278" s="20">
        <f t="shared" si="479"/>
        <v>60</v>
      </c>
      <c r="Q278" s="104">
        <f t="shared" si="480"/>
        <v>1E-3</v>
      </c>
      <c r="R278" s="20">
        <f t="shared" si="481"/>
        <v>3</v>
      </c>
      <c r="S278" s="20">
        <f t="shared" si="481"/>
        <v>1500</v>
      </c>
      <c r="T278" s="104">
        <f t="shared" si="482"/>
        <v>0.1</v>
      </c>
      <c r="U278" s="54" t="s">
        <v>282</v>
      </c>
      <c r="V278" s="44"/>
      <c r="W278" s="58">
        <f t="shared" si="483"/>
        <v>2073</v>
      </c>
      <c r="X278" s="102">
        <f t="shared" si="484"/>
        <v>58.75</v>
      </c>
      <c r="Y278" s="102">
        <f t="shared" si="485"/>
        <v>17.866700000000002</v>
      </c>
      <c r="Z278" s="21">
        <f t="shared" si="486"/>
        <v>8195</v>
      </c>
      <c r="AA278" s="44">
        <f t="shared" si="487"/>
        <v>0</v>
      </c>
      <c r="AB278" s="21">
        <f t="shared" si="488"/>
        <v>5</v>
      </c>
      <c r="AC278" s="121">
        <f>ROUND(I278+mwreg!$G$31/100,3)</f>
        <v>-0.46400000000000002</v>
      </c>
      <c r="AD278" s="101">
        <f>ROUND(J278+mwreg!$G$31/100,3)</f>
        <v>0.442</v>
      </c>
      <c r="AE278" s="101">
        <f>ROUND(K278+mwreg!$G$31/100,3)</f>
        <v>8.9999999999999993E-3</v>
      </c>
      <c r="AF278" s="102">
        <f t="shared" si="476"/>
        <v>0.124</v>
      </c>
      <c r="AG278" s="102">
        <f t="shared" si="477"/>
        <v>4.2599999999999999E-2</v>
      </c>
      <c r="AH278" s="102">
        <f t="shared" ref="AH278:AH321" si="491">N278</f>
        <v>4.4999999999999998E-2</v>
      </c>
      <c r="AI278" s="21">
        <f t="shared" ref="AI278:AI321" si="492">O278</f>
        <v>180</v>
      </c>
      <c r="AJ278" s="21">
        <f t="shared" ref="AJ278:AJ321" si="493">P278</f>
        <v>60</v>
      </c>
      <c r="AK278" s="101">
        <f t="shared" ref="AK278:AK321" si="494">Q278</f>
        <v>1E-3</v>
      </c>
      <c r="AL278" s="21">
        <f t="shared" ref="AL278:AL321" si="495">R278</f>
        <v>3</v>
      </c>
      <c r="AM278" s="21">
        <f t="shared" ref="AM278:AM321" si="496">S278</f>
        <v>1500</v>
      </c>
      <c r="AN278" s="101">
        <f t="shared" ref="AN278:AN321" si="497">T278</f>
        <v>0.1</v>
      </c>
      <c r="AO278" s="185" t="str">
        <f t="shared" si="442"/>
        <v>NaN</v>
      </c>
    </row>
    <row r="279" spans="1:41" x14ac:dyDescent="0.2">
      <c r="A279" s="194" t="s">
        <v>296</v>
      </c>
      <c r="B279" s="194" t="s">
        <v>296</v>
      </c>
      <c r="C279" s="52">
        <v>2073</v>
      </c>
      <c r="D279" s="105">
        <v>58.75</v>
      </c>
      <c r="E279" s="105">
        <v>17.866700000000002</v>
      </c>
      <c r="F279" s="20">
        <v>8195</v>
      </c>
      <c r="G279" s="18">
        <v>0</v>
      </c>
      <c r="H279" s="53">
        <v>6</v>
      </c>
      <c r="I279" s="167">
        <f t="shared" si="478"/>
        <v>-0.39600000000000002</v>
      </c>
      <c r="J279" s="104">
        <f t="shared" si="478"/>
        <v>0.36799999999999999</v>
      </c>
      <c r="K279" s="104">
        <f t="shared" si="478"/>
        <v>-4.2000000000000003E-2</v>
      </c>
      <c r="L279" s="105">
        <f t="shared" si="489"/>
        <v>0.10290000000000001</v>
      </c>
      <c r="M279" s="105">
        <f t="shared" si="490"/>
        <v>5.74E-2</v>
      </c>
      <c r="N279" s="105">
        <f t="shared" si="490"/>
        <v>0.06</v>
      </c>
      <c r="O279" s="20">
        <f t="shared" si="479"/>
        <v>180</v>
      </c>
      <c r="P279" s="20">
        <f t="shared" si="479"/>
        <v>60</v>
      </c>
      <c r="Q279" s="104">
        <f t="shared" si="480"/>
        <v>1E-3</v>
      </c>
      <c r="R279" s="20">
        <f t="shared" si="481"/>
        <v>3</v>
      </c>
      <c r="S279" s="20">
        <f t="shared" si="481"/>
        <v>1500</v>
      </c>
      <c r="T279" s="104">
        <f t="shared" si="482"/>
        <v>0.1</v>
      </c>
      <c r="U279" s="54" t="s">
        <v>282</v>
      </c>
      <c r="V279" s="44"/>
      <c r="W279" s="58">
        <f t="shared" si="483"/>
        <v>2073</v>
      </c>
      <c r="X279" s="102">
        <f t="shared" si="484"/>
        <v>58.75</v>
      </c>
      <c r="Y279" s="102">
        <f t="shared" si="485"/>
        <v>17.866700000000002</v>
      </c>
      <c r="Z279" s="21">
        <f t="shared" si="486"/>
        <v>8195</v>
      </c>
      <c r="AA279" s="44">
        <f t="shared" si="487"/>
        <v>0</v>
      </c>
      <c r="AB279" s="21">
        <f t="shared" si="488"/>
        <v>6</v>
      </c>
      <c r="AC279" s="121">
        <f>ROUND(I279+mwreg!$G$31/100,3)</f>
        <v>-0.313</v>
      </c>
      <c r="AD279" s="101">
        <f>ROUND(J279+mwreg!$G$31/100,3)</f>
        <v>0.45100000000000001</v>
      </c>
      <c r="AE279" s="101">
        <f>ROUND(K279+mwreg!$G$31/100,3)</f>
        <v>4.1000000000000002E-2</v>
      </c>
      <c r="AF279" s="102">
        <f t="shared" si="476"/>
        <v>0.10290000000000001</v>
      </c>
      <c r="AG279" s="102">
        <f t="shared" si="477"/>
        <v>5.74E-2</v>
      </c>
      <c r="AH279" s="102">
        <f t="shared" si="491"/>
        <v>0.06</v>
      </c>
      <c r="AI279" s="21">
        <f t="shared" si="492"/>
        <v>180</v>
      </c>
      <c r="AJ279" s="21">
        <f t="shared" si="493"/>
        <v>60</v>
      </c>
      <c r="AK279" s="101">
        <f t="shared" si="494"/>
        <v>1E-3</v>
      </c>
      <c r="AL279" s="21">
        <f t="shared" si="495"/>
        <v>3</v>
      </c>
      <c r="AM279" s="21">
        <f t="shared" si="496"/>
        <v>1500</v>
      </c>
      <c r="AN279" s="101">
        <f t="shared" si="497"/>
        <v>0.1</v>
      </c>
      <c r="AO279" s="185" t="str">
        <f t="shared" si="442"/>
        <v>NaN</v>
      </c>
    </row>
    <row r="280" spans="1:41" x14ac:dyDescent="0.2">
      <c r="A280" s="194" t="s">
        <v>296</v>
      </c>
      <c r="B280" s="194" t="s">
        <v>296</v>
      </c>
      <c r="C280" s="52">
        <v>2073</v>
      </c>
      <c r="D280" s="105">
        <v>58.75</v>
      </c>
      <c r="E280" s="105">
        <v>17.866700000000002</v>
      </c>
      <c r="F280" s="20">
        <v>8195</v>
      </c>
      <c r="G280" s="18">
        <v>0</v>
      </c>
      <c r="H280" s="53">
        <v>7</v>
      </c>
      <c r="I280" s="167">
        <f t="shared" si="478"/>
        <v>-0.28799999999999998</v>
      </c>
      <c r="J280" s="104">
        <f t="shared" si="478"/>
        <v>0.63100000000000001</v>
      </c>
      <c r="K280" s="104">
        <f t="shared" si="478"/>
        <v>7.1999999999999995E-2</v>
      </c>
      <c r="L280" s="105">
        <f t="shared" si="489"/>
        <v>0.106</v>
      </c>
      <c r="M280" s="105">
        <f t="shared" si="490"/>
        <v>4.0099999999999997E-2</v>
      </c>
      <c r="N280" s="105">
        <f t="shared" si="490"/>
        <v>4.2000000000000003E-2</v>
      </c>
      <c r="O280" s="20">
        <f t="shared" si="479"/>
        <v>180</v>
      </c>
      <c r="P280" s="20">
        <f t="shared" si="479"/>
        <v>60</v>
      </c>
      <c r="Q280" s="104">
        <f t="shared" si="480"/>
        <v>1E-3</v>
      </c>
      <c r="R280" s="20">
        <f t="shared" si="481"/>
        <v>3</v>
      </c>
      <c r="S280" s="20">
        <f t="shared" si="481"/>
        <v>1500</v>
      </c>
      <c r="T280" s="104">
        <f t="shared" si="482"/>
        <v>0.1</v>
      </c>
      <c r="U280" s="54" t="s">
        <v>282</v>
      </c>
      <c r="V280" s="44"/>
      <c r="W280" s="58">
        <f t="shared" si="483"/>
        <v>2073</v>
      </c>
      <c r="X280" s="102">
        <f t="shared" si="484"/>
        <v>58.75</v>
      </c>
      <c r="Y280" s="102">
        <f t="shared" si="485"/>
        <v>17.866700000000002</v>
      </c>
      <c r="Z280" s="21">
        <f t="shared" si="486"/>
        <v>8195</v>
      </c>
      <c r="AA280" s="44">
        <f t="shared" si="487"/>
        <v>0</v>
      </c>
      <c r="AB280" s="21">
        <f t="shared" si="488"/>
        <v>7</v>
      </c>
      <c r="AC280" s="121">
        <f>ROUND(I280+mwreg!$G$31/100,3)</f>
        <v>-0.20499999999999999</v>
      </c>
      <c r="AD280" s="101">
        <f>ROUND(J280+mwreg!$G$31/100,3)</f>
        <v>0.71399999999999997</v>
      </c>
      <c r="AE280" s="101">
        <f>ROUND(K280+mwreg!$G$31/100,3)</f>
        <v>0.155</v>
      </c>
      <c r="AF280" s="102">
        <f t="shared" si="476"/>
        <v>0.106</v>
      </c>
      <c r="AG280" s="102">
        <f t="shared" si="477"/>
        <v>4.0099999999999997E-2</v>
      </c>
      <c r="AH280" s="102">
        <f t="shared" si="491"/>
        <v>4.2000000000000003E-2</v>
      </c>
      <c r="AI280" s="21">
        <f t="shared" si="492"/>
        <v>180</v>
      </c>
      <c r="AJ280" s="21">
        <f t="shared" si="493"/>
        <v>60</v>
      </c>
      <c r="AK280" s="101">
        <f t="shared" si="494"/>
        <v>1E-3</v>
      </c>
      <c r="AL280" s="21">
        <f t="shared" si="495"/>
        <v>3</v>
      </c>
      <c r="AM280" s="21">
        <f t="shared" si="496"/>
        <v>1500</v>
      </c>
      <c r="AN280" s="101">
        <f t="shared" si="497"/>
        <v>0.1</v>
      </c>
      <c r="AO280" s="185" t="str">
        <f t="shared" si="442"/>
        <v>NaN</v>
      </c>
    </row>
    <row r="281" spans="1:41" x14ac:dyDescent="0.2">
      <c r="A281" s="194" t="s">
        <v>296</v>
      </c>
      <c r="B281" s="194" t="s">
        <v>296</v>
      </c>
      <c r="C281" s="52">
        <v>2073</v>
      </c>
      <c r="D281" s="105">
        <v>58.75</v>
      </c>
      <c r="E281" s="105">
        <v>17.866700000000002</v>
      </c>
      <c r="F281" s="20">
        <v>8195</v>
      </c>
      <c r="G281" s="18">
        <v>0</v>
      </c>
      <c r="H281" s="53">
        <v>8</v>
      </c>
      <c r="I281" s="167">
        <f t="shared" si="478"/>
        <v>-0.35599999999999998</v>
      </c>
      <c r="J281" s="104">
        <f t="shared" si="478"/>
        <v>0.53800000000000003</v>
      </c>
      <c r="K281" s="104">
        <f t="shared" si="478"/>
        <v>0.04</v>
      </c>
      <c r="L281" s="105">
        <f t="shared" si="489"/>
        <v>0.1052</v>
      </c>
      <c r="M281" s="105">
        <f t="shared" si="490"/>
        <v>5.9499999999999997E-2</v>
      </c>
      <c r="N281" s="105">
        <f t="shared" si="490"/>
        <v>6.2E-2</v>
      </c>
      <c r="O281" s="20">
        <f t="shared" si="479"/>
        <v>180</v>
      </c>
      <c r="P281" s="20">
        <f t="shared" si="479"/>
        <v>60</v>
      </c>
      <c r="Q281" s="104">
        <f t="shared" si="480"/>
        <v>1E-3</v>
      </c>
      <c r="R281" s="20">
        <f t="shared" si="481"/>
        <v>3</v>
      </c>
      <c r="S281" s="20">
        <f t="shared" si="481"/>
        <v>1500</v>
      </c>
      <c r="T281" s="104">
        <f t="shared" si="482"/>
        <v>0.1</v>
      </c>
      <c r="U281" s="54" t="s">
        <v>282</v>
      </c>
      <c r="V281" s="44"/>
      <c r="W281" s="58">
        <f t="shared" si="483"/>
        <v>2073</v>
      </c>
      <c r="X281" s="102">
        <f t="shared" si="484"/>
        <v>58.75</v>
      </c>
      <c r="Y281" s="102">
        <f t="shared" si="485"/>
        <v>17.866700000000002</v>
      </c>
      <c r="Z281" s="21">
        <f t="shared" si="486"/>
        <v>8195</v>
      </c>
      <c r="AA281" s="44">
        <f t="shared" si="487"/>
        <v>0</v>
      </c>
      <c r="AB281" s="21">
        <f t="shared" si="488"/>
        <v>8</v>
      </c>
      <c r="AC281" s="121">
        <f>ROUND(I281+mwreg!$G$31/100,3)</f>
        <v>-0.27300000000000002</v>
      </c>
      <c r="AD281" s="101">
        <f>ROUND(J281+mwreg!$G$31/100,3)</f>
        <v>0.621</v>
      </c>
      <c r="AE281" s="101">
        <f>ROUND(K281+mwreg!$G$31/100,3)</f>
        <v>0.123</v>
      </c>
      <c r="AF281" s="102">
        <f t="shared" si="476"/>
        <v>0.1052</v>
      </c>
      <c r="AG281" s="102">
        <f t="shared" si="477"/>
        <v>5.9499999999999997E-2</v>
      </c>
      <c r="AH281" s="102">
        <f t="shared" si="491"/>
        <v>6.2E-2</v>
      </c>
      <c r="AI281" s="21">
        <f t="shared" si="492"/>
        <v>180</v>
      </c>
      <c r="AJ281" s="21">
        <f t="shared" si="493"/>
        <v>60</v>
      </c>
      <c r="AK281" s="101">
        <f t="shared" si="494"/>
        <v>1E-3</v>
      </c>
      <c r="AL281" s="21">
        <f t="shared" si="495"/>
        <v>3</v>
      </c>
      <c r="AM281" s="21">
        <f t="shared" si="496"/>
        <v>1500</v>
      </c>
      <c r="AN281" s="101">
        <f t="shared" si="497"/>
        <v>0.1</v>
      </c>
      <c r="AO281" s="185" t="str">
        <f t="shared" si="442"/>
        <v>NaN</v>
      </c>
    </row>
    <row r="282" spans="1:41" x14ac:dyDescent="0.2">
      <c r="A282" s="194" t="s">
        <v>296</v>
      </c>
      <c r="B282" s="194" t="s">
        <v>296</v>
      </c>
      <c r="C282" s="52">
        <v>2073</v>
      </c>
      <c r="D282" s="105">
        <v>58.75</v>
      </c>
      <c r="E282" s="105">
        <v>17.866700000000002</v>
      </c>
      <c r="F282" s="20">
        <v>8195</v>
      </c>
      <c r="G282" s="18">
        <v>0</v>
      </c>
      <c r="H282" s="53">
        <v>9</v>
      </c>
      <c r="I282" s="167">
        <f t="shared" si="478"/>
        <v>-0.42899999999999999</v>
      </c>
      <c r="J282" s="104">
        <f t="shared" si="478"/>
        <v>0.64800000000000002</v>
      </c>
      <c r="K282" s="104">
        <f t="shared" si="478"/>
        <v>0.08</v>
      </c>
      <c r="L282" s="105">
        <f t="shared" si="489"/>
        <v>0.12870000000000001</v>
      </c>
      <c r="M282" s="105">
        <f t="shared" si="490"/>
        <v>4.7899999999999998E-2</v>
      </c>
      <c r="N282" s="105">
        <f t="shared" si="490"/>
        <v>5.0999999999999997E-2</v>
      </c>
      <c r="O282" s="20">
        <f t="shared" si="479"/>
        <v>180</v>
      </c>
      <c r="P282" s="20">
        <f t="shared" si="479"/>
        <v>60</v>
      </c>
      <c r="Q282" s="104">
        <f t="shared" si="480"/>
        <v>1E-3</v>
      </c>
      <c r="R282" s="20">
        <f t="shared" si="481"/>
        <v>3</v>
      </c>
      <c r="S282" s="20">
        <f t="shared" si="481"/>
        <v>1500</v>
      </c>
      <c r="T282" s="104">
        <f t="shared" si="482"/>
        <v>0.1</v>
      </c>
      <c r="U282" s="54" t="s">
        <v>282</v>
      </c>
      <c r="V282" s="44"/>
      <c r="W282" s="58">
        <f t="shared" si="483"/>
        <v>2073</v>
      </c>
      <c r="X282" s="102">
        <f t="shared" si="484"/>
        <v>58.75</v>
      </c>
      <c r="Y282" s="102">
        <f t="shared" si="485"/>
        <v>17.866700000000002</v>
      </c>
      <c r="Z282" s="21">
        <f t="shared" si="486"/>
        <v>8195</v>
      </c>
      <c r="AA282" s="44">
        <f t="shared" si="487"/>
        <v>0</v>
      </c>
      <c r="AB282" s="21">
        <f t="shared" si="488"/>
        <v>9</v>
      </c>
      <c r="AC282" s="121">
        <f>ROUND(I282+mwreg!$G$31/100,3)</f>
        <v>-0.34599999999999997</v>
      </c>
      <c r="AD282" s="101">
        <f>ROUND(J282+mwreg!$G$31/100,3)</f>
        <v>0.73099999999999998</v>
      </c>
      <c r="AE282" s="101">
        <f>ROUND(K282+mwreg!$G$31/100,3)</f>
        <v>0.16300000000000001</v>
      </c>
      <c r="AF282" s="102">
        <f t="shared" si="476"/>
        <v>0.12870000000000001</v>
      </c>
      <c r="AG282" s="102">
        <f t="shared" si="477"/>
        <v>4.7899999999999998E-2</v>
      </c>
      <c r="AH282" s="102">
        <f t="shared" si="491"/>
        <v>5.0999999999999997E-2</v>
      </c>
      <c r="AI282" s="21">
        <f t="shared" si="492"/>
        <v>180</v>
      </c>
      <c r="AJ282" s="21">
        <f t="shared" si="493"/>
        <v>60</v>
      </c>
      <c r="AK282" s="101">
        <f t="shared" si="494"/>
        <v>1E-3</v>
      </c>
      <c r="AL282" s="21">
        <f t="shared" si="495"/>
        <v>3</v>
      </c>
      <c r="AM282" s="21">
        <f t="shared" si="496"/>
        <v>1500</v>
      </c>
      <c r="AN282" s="101">
        <f t="shared" si="497"/>
        <v>0.1</v>
      </c>
      <c r="AO282" s="185" t="str">
        <f t="shared" si="442"/>
        <v>NaN</v>
      </c>
    </row>
    <row r="283" spans="1:41" x14ac:dyDescent="0.2">
      <c r="A283" s="194" t="s">
        <v>296</v>
      </c>
      <c r="B283" s="194" t="s">
        <v>296</v>
      </c>
      <c r="C283" s="52">
        <v>2073</v>
      </c>
      <c r="D283" s="105">
        <v>58.75</v>
      </c>
      <c r="E283" s="105">
        <v>17.866700000000002</v>
      </c>
      <c r="F283" s="20">
        <v>8195</v>
      </c>
      <c r="G283" s="18">
        <v>0</v>
      </c>
      <c r="H283" s="53">
        <v>10</v>
      </c>
      <c r="I283" s="167">
        <f t="shared" si="478"/>
        <v>-0.53900000000000003</v>
      </c>
      <c r="J283" s="104">
        <f t="shared" si="478"/>
        <v>0.81499999999999995</v>
      </c>
      <c r="K283" s="104">
        <f t="shared" si="478"/>
        <v>4.1000000000000002E-2</v>
      </c>
      <c r="L283" s="105">
        <f t="shared" si="489"/>
        <v>0.15920000000000001</v>
      </c>
      <c r="M283" s="105">
        <f t="shared" si="490"/>
        <v>6.93E-2</v>
      </c>
      <c r="N283" s="105">
        <f t="shared" si="490"/>
        <v>7.2999999999999995E-2</v>
      </c>
      <c r="O283" s="20">
        <f t="shared" si="479"/>
        <v>180</v>
      </c>
      <c r="P283" s="20">
        <f t="shared" si="479"/>
        <v>60</v>
      </c>
      <c r="Q283" s="104">
        <f t="shared" si="480"/>
        <v>1E-3</v>
      </c>
      <c r="R283" s="20">
        <f t="shared" si="481"/>
        <v>3</v>
      </c>
      <c r="S283" s="20">
        <f t="shared" si="481"/>
        <v>1500</v>
      </c>
      <c r="T283" s="104">
        <f t="shared" si="482"/>
        <v>0.1</v>
      </c>
      <c r="U283" s="54" t="s">
        <v>282</v>
      </c>
      <c r="V283" s="44"/>
      <c r="W283" s="58">
        <f t="shared" si="483"/>
        <v>2073</v>
      </c>
      <c r="X283" s="102">
        <f t="shared" si="484"/>
        <v>58.75</v>
      </c>
      <c r="Y283" s="102">
        <f t="shared" si="485"/>
        <v>17.866700000000002</v>
      </c>
      <c r="Z283" s="21">
        <f t="shared" si="486"/>
        <v>8195</v>
      </c>
      <c r="AA283" s="44">
        <f t="shared" si="487"/>
        <v>0</v>
      </c>
      <c r="AB283" s="21">
        <f t="shared" si="488"/>
        <v>10</v>
      </c>
      <c r="AC283" s="121">
        <f>ROUND(I283+mwreg!$G$31/100,3)</f>
        <v>-0.45600000000000002</v>
      </c>
      <c r="AD283" s="101">
        <f>ROUND(J283+mwreg!$G$31/100,3)</f>
        <v>0.89800000000000002</v>
      </c>
      <c r="AE283" s="101">
        <f>ROUND(K283+mwreg!$G$31/100,3)</f>
        <v>0.124</v>
      </c>
      <c r="AF283" s="102">
        <f t="shared" si="476"/>
        <v>0.15920000000000001</v>
      </c>
      <c r="AG283" s="102">
        <f t="shared" si="477"/>
        <v>6.93E-2</v>
      </c>
      <c r="AH283" s="102">
        <f t="shared" si="491"/>
        <v>7.2999999999999995E-2</v>
      </c>
      <c r="AI283" s="21">
        <f t="shared" si="492"/>
        <v>180</v>
      </c>
      <c r="AJ283" s="21">
        <f t="shared" si="493"/>
        <v>60</v>
      </c>
      <c r="AK283" s="101">
        <f t="shared" si="494"/>
        <v>1E-3</v>
      </c>
      <c r="AL283" s="21">
        <f t="shared" si="495"/>
        <v>3</v>
      </c>
      <c r="AM283" s="21">
        <f t="shared" si="496"/>
        <v>1500</v>
      </c>
      <c r="AN283" s="101">
        <f t="shared" si="497"/>
        <v>0.1</v>
      </c>
      <c r="AO283" s="185" t="str">
        <f t="shared" si="442"/>
        <v>NaN</v>
      </c>
    </row>
    <row r="284" spans="1:41" x14ac:dyDescent="0.2">
      <c r="A284" s="194" t="s">
        <v>296</v>
      </c>
      <c r="B284" s="194" t="s">
        <v>296</v>
      </c>
      <c r="C284" s="52">
        <v>2073</v>
      </c>
      <c r="D284" s="105">
        <v>58.75</v>
      </c>
      <c r="E284" s="105">
        <v>17.866700000000002</v>
      </c>
      <c r="F284" s="20">
        <v>8195</v>
      </c>
      <c r="G284" s="18">
        <v>0</v>
      </c>
      <c r="H284" s="53">
        <v>11</v>
      </c>
      <c r="I284" s="167">
        <f t="shared" si="478"/>
        <v>-0.50800000000000001</v>
      </c>
      <c r="J284" s="104">
        <f t="shared" si="478"/>
        <v>0.746</v>
      </c>
      <c r="K284" s="104">
        <f t="shared" si="478"/>
        <v>0.06</v>
      </c>
      <c r="L284" s="105">
        <f t="shared" si="489"/>
        <v>0.18590000000000001</v>
      </c>
      <c r="M284" s="105">
        <f t="shared" si="490"/>
        <v>8.3599999999999994E-2</v>
      </c>
      <c r="N284" s="105">
        <f t="shared" si="490"/>
        <v>8.7999999999999995E-2</v>
      </c>
      <c r="O284" s="20">
        <f t="shared" si="479"/>
        <v>180</v>
      </c>
      <c r="P284" s="20">
        <f t="shared" si="479"/>
        <v>60</v>
      </c>
      <c r="Q284" s="104">
        <f t="shared" si="480"/>
        <v>1E-3</v>
      </c>
      <c r="R284" s="20">
        <f t="shared" si="481"/>
        <v>3</v>
      </c>
      <c r="S284" s="20">
        <f t="shared" si="481"/>
        <v>1500</v>
      </c>
      <c r="T284" s="104">
        <f t="shared" si="482"/>
        <v>0.1</v>
      </c>
      <c r="U284" s="54" t="s">
        <v>282</v>
      </c>
      <c r="V284" s="44"/>
      <c r="W284" s="58">
        <f t="shared" si="483"/>
        <v>2073</v>
      </c>
      <c r="X284" s="102">
        <f t="shared" si="484"/>
        <v>58.75</v>
      </c>
      <c r="Y284" s="102">
        <f t="shared" si="485"/>
        <v>17.866700000000002</v>
      </c>
      <c r="Z284" s="21">
        <f t="shared" si="486"/>
        <v>8195</v>
      </c>
      <c r="AA284" s="44">
        <f t="shared" si="487"/>
        <v>0</v>
      </c>
      <c r="AB284" s="21">
        <f t="shared" si="488"/>
        <v>11</v>
      </c>
      <c r="AC284" s="121">
        <f>ROUND(I284+mwreg!$G$31/100,3)</f>
        <v>-0.42499999999999999</v>
      </c>
      <c r="AD284" s="101">
        <f>ROUND(J284+mwreg!$G$31/100,3)</f>
        <v>0.82899999999999996</v>
      </c>
      <c r="AE284" s="101">
        <f>ROUND(K284+mwreg!$G$31/100,3)</f>
        <v>0.14299999999999999</v>
      </c>
      <c r="AF284" s="102">
        <f t="shared" si="476"/>
        <v>0.18590000000000001</v>
      </c>
      <c r="AG284" s="102">
        <f t="shared" si="477"/>
        <v>8.3599999999999994E-2</v>
      </c>
      <c r="AH284" s="102">
        <f t="shared" si="491"/>
        <v>8.7999999999999995E-2</v>
      </c>
      <c r="AI284" s="21">
        <f t="shared" si="492"/>
        <v>180</v>
      </c>
      <c r="AJ284" s="21">
        <f t="shared" si="493"/>
        <v>60</v>
      </c>
      <c r="AK284" s="101">
        <f t="shared" si="494"/>
        <v>1E-3</v>
      </c>
      <c r="AL284" s="21">
        <f t="shared" si="495"/>
        <v>3</v>
      </c>
      <c r="AM284" s="21">
        <f t="shared" si="496"/>
        <v>1500</v>
      </c>
      <c r="AN284" s="101">
        <f t="shared" si="497"/>
        <v>0.1</v>
      </c>
      <c r="AO284" s="185" t="str">
        <f t="shared" si="442"/>
        <v>NaN</v>
      </c>
    </row>
    <row r="285" spans="1:41" x14ac:dyDescent="0.2">
      <c r="A285" s="194" t="s">
        <v>296</v>
      </c>
      <c r="B285" s="194" t="s">
        <v>296</v>
      </c>
      <c r="C285" s="52">
        <v>2073</v>
      </c>
      <c r="D285" s="105">
        <v>58.75</v>
      </c>
      <c r="E285" s="105">
        <v>17.866700000000002</v>
      </c>
      <c r="F285" s="20">
        <v>8195</v>
      </c>
      <c r="G285" s="18">
        <v>0</v>
      </c>
      <c r="H285" s="53">
        <v>12</v>
      </c>
      <c r="I285" s="167">
        <f t="shared" si="478"/>
        <v>-0.58799999999999997</v>
      </c>
      <c r="J285" s="104">
        <f t="shared" si="478"/>
        <v>0.89800000000000002</v>
      </c>
      <c r="K285" s="104">
        <f t="shared" si="478"/>
        <v>0.11799999999999999</v>
      </c>
      <c r="L285" s="105">
        <f t="shared" si="489"/>
        <v>0.1988</v>
      </c>
      <c r="M285" s="105">
        <f t="shared" si="490"/>
        <v>7.1599999999999997E-2</v>
      </c>
      <c r="N285" s="105">
        <f t="shared" si="490"/>
        <v>7.5999999999999998E-2</v>
      </c>
      <c r="O285" s="20">
        <f t="shared" si="479"/>
        <v>180</v>
      </c>
      <c r="P285" s="20">
        <f t="shared" si="479"/>
        <v>60</v>
      </c>
      <c r="Q285" s="104">
        <f t="shared" si="480"/>
        <v>1E-3</v>
      </c>
      <c r="R285" s="20">
        <f t="shared" si="481"/>
        <v>3</v>
      </c>
      <c r="S285" s="20">
        <f t="shared" si="481"/>
        <v>1500</v>
      </c>
      <c r="T285" s="104">
        <f t="shared" si="482"/>
        <v>0.1</v>
      </c>
      <c r="U285" s="54" t="s">
        <v>282</v>
      </c>
      <c r="V285" s="44"/>
      <c r="W285" s="58">
        <f t="shared" si="483"/>
        <v>2073</v>
      </c>
      <c r="X285" s="102">
        <f t="shared" si="484"/>
        <v>58.75</v>
      </c>
      <c r="Y285" s="102">
        <f t="shared" si="485"/>
        <v>17.866700000000002</v>
      </c>
      <c r="Z285" s="21">
        <f t="shared" si="486"/>
        <v>8195</v>
      </c>
      <c r="AA285" s="44">
        <f t="shared" si="487"/>
        <v>0</v>
      </c>
      <c r="AB285" s="21">
        <f t="shared" si="488"/>
        <v>12</v>
      </c>
      <c r="AC285" s="121">
        <f>ROUND(I285+mwreg!$G$31/100,3)</f>
        <v>-0.505</v>
      </c>
      <c r="AD285" s="101">
        <f>ROUND(J285+mwreg!$G$31/100,3)</f>
        <v>0.98099999999999998</v>
      </c>
      <c r="AE285" s="101">
        <f>ROUND(K285+mwreg!$G$31/100,3)</f>
        <v>0.20100000000000001</v>
      </c>
      <c r="AF285" s="102">
        <f t="shared" si="476"/>
        <v>0.1988</v>
      </c>
      <c r="AG285" s="102">
        <f t="shared" si="477"/>
        <v>7.1599999999999997E-2</v>
      </c>
      <c r="AH285" s="102">
        <f t="shared" si="491"/>
        <v>7.5999999999999998E-2</v>
      </c>
      <c r="AI285" s="21">
        <f t="shared" si="492"/>
        <v>180</v>
      </c>
      <c r="AJ285" s="21">
        <f t="shared" si="493"/>
        <v>60</v>
      </c>
      <c r="AK285" s="101">
        <f t="shared" si="494"/>
        <v>1E-3</v>
      </c>
      <c r="AL285" s="21">
        <f t="shared" si="495"/>
        <v>3</v>
      </c>
      <c r="AM285" s="21">
        <f t="shared" si="496"/>
        <v>1500</v>
      </c>
      <c r="AN285" s="101">
        <f t="shared" si="497"/>
        <v>0.1</v>
      </c>
      <c r="AO285" s="185" t="str">
        <f t="shared" si="442"/>
        <v>NaN</v>
      </c>
    </row>
    <row r="286" spans="1:41" x14ac:dyDescent="0.2">
      <c r="A286" s="194" t="str">
        <f>stat_uppg!A32</f>
        <v>34/35185</v>
      </c>
      <c r="B286" s="194" t="str">
        <f>stat_uppg!B32</f>
        <v>E4 BRON SÖDERTÄLJE (SJÖV)</v>
      </c>
      <c r="C286" s="52">
        <v>35185</v>
      </c>
      <c r="D286" s="105">
        <v>59.184800000000003</v>
      </c>
      <c r="E286" s="105">
        <v>17.642800000000001</v>
      </c>
      <c r="F286" s="20">
        <v>8195</v>
      </c>
      <c r="G286" s="18">
        <v>0</v>
      </c>
      <c r="H286" s="53">
        <v>1</v>
      </c>
      <c r="I286" s="167">
        <f t="shared" ref="I286:K297" si="498">ROUND(I262,3)</f>
        <v>-0.622</v>
      </c>
      <c r="J286" s="104">
        <f t="shared" si="498"/>
        <v>0.95199999999999996</v>
      </c>
      <c r="K286" s="104">
        <f t="shared" si="498"/>
        <v>0.129</v>
      </c>
      <c r="L286" s="105">
        <f t="shared" ref="L286:L297" si="499">ROUND(L262,4)</f>
        <v>0.25369999999999998</v>
      </c>
      <c r="M286" s="105">
        <f t="shared" ref="M286:T297" si="500">M262</f>
        <v>6.8400000000000002E-2</v>
      </c>
      <c r="N286" s="105">
        <f t="shared" si="500"/>
        <v>7.2999999999999995E-2</v>
      </c>
      <c r="O286" s="20">
        <f t="shared" si="500"/>
        <v>180</v>
      </c>
      <c r="P286" s="20">
        <f t="shared" si="500"/>
        <v>60</v>
      </c>
      <c r="Q286" s="104">
        <f t="shared" si="500"/>
        <v>1E-3</v>
      </c>
      <c r="R286" s="20">
        <f t="shared" si="500"/>
        <v>3</v>
      </c>
      <c r="S286" s="20">
        <f t="shared" si="500"/>
        <v>1500</v>
      </c>
      <c r="T286" s="104">
        <f t="shared" si="500"/>
        <v>0.1</v>
      </c>
      <c r="U286" s="54" t="s">
        <v>282</v>
      </c>
      <c r="V286" s="21"/>
      <c r="W286" s="58">
        <f t="shared" si="483"/>
        <v>35185</v>
      </c>
      <c r="X286" s="102">
        <f t="shared" ref="X286:X321" si="501">D286</f>
        <v>59.184800000000003</v>
      </c>
      <c r="Y286" s="102">
        <f t="shared" ref="Y286:Y321" si="502">E286</f>
        <v>17.642800000000001</v>
      </c>
      <c r="Z286" s="21">
        <f t="shared" si="486"/>
        <v>8195</v>
      </c>
      <c r="AA286" s="44">
        <f t="shared" si="487"/>
        <v>0</v>
      </c>
      <c r="AB286" s="21">
        <f t="shared" si="488"/>
        <v>1</v>
      </c>
      <c r="AC286" s="121">
        <f>ROUND(I286+mwreg!$G$32/100,3)</f>
        <v>-0.54</v>
      </c>
      <c r="AD286" s="101">
        <f>ROUND(J286+mwreg!$G$32/100,3)</f>
        <v>1.034</v>
      </c>
      <c r="AE286" s="101">
        <f>ROUND(K286+mwreg!$G$32/100,3)</f>
        <v>0.21099999999999999</v>
      </c>
      <c r="AF286" s="102">
        <f t="shared" si="476"/>
        <v>0.25369999999999998</v>
      </c>
      <c r="AG286" s="102">
        <f t="shared" si="477"/>
        <v>6.8400000000000002E-2</v>
      </c>
      <c r="AH286" s="102">
        <f t="shared" si="491"/>
        <v>7.2999999999999995E-2</v>
      </c>
      <c r="AI286" s="21">
        <f t="shared" si="492"/>
        <v>180</v>
      </c>
      <c r="AJ286" s="21">
        <f t="shared" si="493"/>
        <v>60</v>
      </c>
      <c r="AK286" s="101">
        <f t="shared" si="494"/>
        <v>1E-3</v>
      </c>
      <c r="AL286" s="21">
        <f t="shared" si="495"/>
        <v>3</v>
      </c>
      <c r="AM286" s="21">
        <f t="shared" si="496"/>
        <v>1500</v>
      </c>
      <c r="AN286" s="101">
        <f t="shared" si="497"/>
        <v>0.1</v>
      </c>
      <c r="AO286" s="185" t="str">
        <f t="shared" si="442"/>
        <v>NaN</v>
      </c>
    </row>
    <row r="287" spans="1:41" x14ac:dyDescent="0.2">
      <c r="A287" s="194" t="s">
        <v>296</v>
      </c>
      <c r="B287" s="194" t="s">
        <v>296</v>
      </c>
      <c r="C287" s="52">
        <v>35185</v>
      </c>
      <c r="D287" s="105">
        <v>59.184800000000003</v>
      </c>
      <c r="E287" s="105">
        <v>17.642800000000001</v>
      </c>
      <c r="F287" s="20">
        <v>8195</v>
      </c>
      <c r="G287" s="18">
        <v>0</v>
      </c>
      <c r="H287" s="53">
        <v>2</v>
      </c>
      <c r="I287" s="167">
        <f t="shared" si="498"/>
        <v>-0.65300000000000002</v>
      </c>
      <c r="J287" s="104">
        <f t="shared" si="498"/>
        <v>0.89200000000000002</v>
      </c>
      <c r="K287" s="104">
        <f t="shared" si="498"/>
        <v>7.4999999999999997E-2</v>
      </c>
      <c r="L287" s="105">
        <f t="shared" si="499"/>
        <v>0.27229999999999999</v>
      </c>
      <c r="M287" s="105">
        <f t="shared" si="500"/>
        <v>7.17E-2</v>
      </c>
      <c r="N287" s="105">
        <f t="shared" si="500"/>
        <v>7.5499999999999998E-2</v>
      </c>
      <c r="O287" s="20">
        <f t="shared" si="500"/>
        <v>180</v>
      </c>
      <c r="P287" s="20">
        <f t="shared" si="500"/>
        <v>60</v>
      </c>
      <c r="Q287" s="104">
        <f t="shared" si="500"/>
        <v>1E-3</v>
      </c>
      <c r="R287" s="20">
        <f t="shared" si="500"/>
        <v>3</v>
      </c>
      <c r="S287" s="20">
        <f t="shared" si="500"/>
        <v>1500</v>
      </c>
      <c r="T287" s="104">
        <f t="shared" si="500"/>
        <v>0.1</v>
      </c>
      <c r="U287" s="54" t="s">
        <v>282</v>
      </c>
      <c r="V287" s="21"/>
      <c r="W287" s="58">
        <f t="shared" si="483"/>
        <v>35185</v>
      </c>
      <c r="X287" s="102">
        <f t="shared" si="501"/>
        <v>59.184800000000003</v>
      </c>
      <c r="Y287" s="102">
        <f t="shared" si="502"/>
        <v>17.642800000000001</v>
      </c>
      <c r="Z287" s="21">
        <f t="shared" si="486"/>
        <v>8195</v>
      </c>
      <c r="AA287" s="44">
        <f t="shared" si="487"/>
        <v>0</v>
      </c>
      <c r="AB287" s="21">
        <f t="shared" si="488"/>
        <v>2</v>
      </c>
      <c r="AC287" s="121">
        <f>ROUND(I287+mwreg!$G$32/100,3)</f>
        <v>-0.57099999999999995</v>
      </c>
      <c r="AD287" s="101">
        <f>ROUND(J287+mwreg!$G$32/100,3)</f>
        <v>0.97399999999999998</v>
      </c>
      <c r="AE287" s="101">
        <f>ROUND(K287+mwreg!$G$32/100,3)</f>
        <v>0.157</v>
      </c>
      <c r="AF287" s="102">
        <f t="shared" si="476"/>
        <v>0.27229999999999999</v>
      </c>
      <c r="AG287" s="102">
        <f t="shared" si="477"/>
        <v>7.17E-2</v>
      </c>
      <c r="AH287" s="102">
        <f t="shared" si="491"/>
        <v>7.5499999999999998E-2</v>
      </c>
      <c r="AI287" s="21">
        <f t="shared" si="492"/>
        <v>180</v>
      </c>
      <c r="AJ287" s="21">
        <f t="shared" si="493"/>
        <v>60</v>
      </c>
      <c r="AK287" s="101">
        <f t="shared" si="494"/>
        <v>1E-3</v>
      </c>
      <c r="AL287" s="21">
        <f t="shared" si="495"/>
        <v>3</v>
      </c>
      <c r="AM287" s="21">
        <f t="shared" si="496"/>
        <v>1500</v>
      </c>
      <c r="AN287" s="101">
        <f t="shared" si="497"/>
        <v>0.1</v>
      </c>
      <c r="AO287" s="185" t="str">
        <f t="shared" si="442"/>
        <v>NaN</v>
      </c>
    </row>
    <row r="288" spans="1:41" x14ac:dyDescent="0.2">
      <c r="A288" s="194" t="s">
        <v>296</v>
      </c>
      <c r="B288" s="194" t="s">
        <v>296</v>
      </c>
      <c r="C288" s="52">
        <v>35185</v>
      </c>
      <c r="D288" s="105">
        <v>59.184800000000003</v>
      </c>
      <c r="E288" s="105">
        <v>17.642800000000001</v>
      </c>
      <c r="F288" s="20">
        <v>8195</v>
      </c>
      <c r="G288" s="18">
        <v>0</v>
      </c>
      <c r="H288" s="53">
        <v>3</v>
      </c>
      <c r="I288" s="167">
        <f t="shared" si="498"/>
        <v>-0.7</v>
      </c>
      <c r="J288" s="104">
        <f t="shared" si="498"/>
        <v>0.752</v>
      </c>
      <c r="K288" s="104">
        <f t="shared" si="498"/>
        <v>-5.0000000000000001E-3</v>
      </c>
      <c r="L288" s="105">
        <f t="shared" si="499"/>
        <v>0.23039999999999999</v>
      </c>
      <c r="M288" s="105">
        <f t="shared" si="500"/>
        <v>4.9700000000000001E-2</v>
      </c>
      <c r="N288" s="105">
        <f t="shared" si="500"/>
        <v>5.2999999999999999E-2</v>
      </c>
      <c r="O288" s="20">
        <f t="shared" si="500"/>
        <v>180</v>
      </c>
      <c r="P288" s="20">
        <f t="shared" si="500"/>
        <v>60</v>
      </c>
      <c r="Q288" s="104">
        <f t="shared" si="500"/>
        <v>1E-3</v>
      </c>
      <c r="R288" s="20">
        <f t="shared" si="500"/>
        <v>3</v>
      </c>
      <c r="S288" s="20">
        <f t="shared" si="500"/>
        <v>1500</v>
      </c>
      <c r="T288" s="104">
        <f t="shared" si="500"/>
        <v>0.1</v>
      </c>
      <c r="U288" s="54" t="s">
        <v>282</v>
      </c>
      <c r="V288" s="21"/>
      <c r="W288" s="58">
        <f t="shared" si="483"/>
        <v>35185</v>
      </c>
      <c r="X288" s="102">
        <f t="shared" si="501"/>
        <v>59.184800000000003</v>
      </c>
      <c r="Y288" s="102">
        <f t="shared" si="502"/>
        <v>17.642800000000001</v>
      </c>
      <c r="Z288" s="21">
        <f t="shared" si="486"/>
        <v>8195</v>
      </c>
      <c r="AA288" s="44">
        <f t="shared" si="487"/>
        <v>0</v>
      </c>
      <c r="AB288" s="21">
        <f t="shared" si="488"/>
        <v>3</v>
      </c>
      <c r="AC288" s="121">
        <f>ROUND(I288+mwreg!$G$32/100,3)</f>
        <v>-0.61799999999999999</v>
      </c>
      <c r="AD288" s="101">
        <f>ROUND(J288+mwreg!$G$32/100,3)</f>
        <v>0.83399999999999996</v>
      </c>
      <c r="AE288" s="101">
        <f>ROUND(K288+mwreg!$G$32/100,3)</f>
        <v>7.6999999999999999E-2</v>
      </c>
      <c r="AF288" s="102">
        <f t="shared" si="476"/>
        <v>0.23039999999999999</v>
      </c>
      <c r="AG288" s="102">
        <f t="shared" si="477"/>
        <v>4.9700000000000001E-2</v>
      </c>
      <c r="AH288" s="102">
        <f t="shared" si="491"/>
        <v>5.2999999999999999E-2</v>
      </c>
      <c r="AI288" s="21">
        <f t="shared" si="492"/>
        <v>180</v>
      </c>
      <c r="AJ288" s="21">
        <f t="shared" si="493"/>
        <v>60</v>
      </c>
      <c r="AK288" s="101">
        <f t="shared" si="494"/>
        <v>1E-3</v>
      </c>
      <c r="AL288" s="21">
        <f t="shared" si="495"/>
        <v>3</v>
      </c>
      <c r="AM288" s="21">
        <f t="shared" si="496"/>
        <v>1500</v>
      </c>
      <c r="AN288" s="101">
        <f t="shared" si="497"/>
        <v>0.1</v>
      </c>
      <c r="AO288" s="185" t="str">
        <f t="shared" si="442"/>
        <v>NaN</v>
      </c>
    </row>
    <row r="289" spans="1:41" x14ac:dyDescent="0.2">
      <c r="A289" s="194" t="s">
        <v>296</v>
      </c>
      <c r="B289" s="194" t="s">
        <v>296</v>
      </c>
      <c r="C289" s="52">
        <v>35185</v>
      </c>
      <c r="D289" s="105">
        <v>59.184800000000003</v>
      </c>
      <c r="E289" s="105">
        <v>17.642800000000001</v>
      </c>
      <c r="F289" s="20">
        <v>8195</v>
      </c>
      <c r="G289" s="18">
        <v>0</v>
      </c>
      <c r="H289" s="53">
        <v>4</v>
      </c>
      <c r="I289" s="167">
        <f t="shared" si="498"/>
        <v>-0.58299999999999996</v>
      </c>
      <c r="J289" s="104">
        <f t="shared" si="498"/>
        <v>0.56100000000000005</v>
      </c>
      <c r="K289" s="104">
        <f t="shared" si="498"/>
        <v>-8.5999999999999993E-2</v>
      </c>
      <c r="L289" s="105">
        <f t="shared" si="499"/>
        <v>0.157</v>
      </c>
      <c r="M289" s="105">
        <f t="shared" si="500"/>
        <v>6.6000000000000003E-2</v>
      </c>
      <c r="N289" s="105">
        <f t="shared" si="500"/>
        <v>6.9000000000000006E-2</v>
      </c>
      <c r="O289" s="20">
        <f t="shared" si="500"/>
        <v>180</v>
      </c>
      <c r="P289" s="20">
        <f t="shared" si="500"/>
        <v>60</v>
      </c>
      <c r="Q289" s="104">
        <f t="shared" si="500"/>
        <v>1E-3</v>
      </c>
      <c r="R289" s="20">
        <f t="shared" si="500"/>
        <v>3</v>
      </c>
      <c r="S289" s="20">
        <f t="shared" si="500"/>
        <v>1500</v>
      </c>
      <c r="T289" s="104">
        <f t="shared" si="500"/>
        <v>0.1</v>
      </c>
      <c r="U289" s="54" t="s">
        <v>282</v>
      </c>
      <c r="V289" s="21"/>
      <c r="W289" s="58">
        <f t="shared" si="483"/>
        <v>35185</v>
      </c>
      <c r="X289" s="102">
        <f t="shared" si="501"/>
        <v>59.184800000000003</v>
      </c>
      <c r="Y289" s="102">
        <f t="shared" si="502"/>
        <v>17.642800000000001</v>
      </c>
      <c r="Z289" s="21">
        <f t="shared" si="486"/>
        <v>8195</v>
      </c>
      <c r="AA289" s="44">
        <f t="shared" si="487"/>
        <v>0</v>
      </c>
      <c r="AB289" s="21">
        <f t="shared" si="488"/>
        <v>4</v>
      </c>
      <c r="AC289" s="121">
        <f>ROUND(I289+mwreg!$G$32/100,3)</f>
        <v>-0.501</v>
      </c>
      <c r="AD289" s="101">
        <f>ROUND(J289+mwreg!$G$32/100,3)</f>
        <v>0.64300000000000002</v>
      </c>
      <c r="AE289" s="101">
        <f>ROUND(K289+mwreg!$G$32/100,3)</f>
        <v>-4.0000000000000001E-3</v>
      </c>
      <c r="AF289" s="102">
        <f t="shared" si="476"/>
        <v>0.157</v>
      </c>
      <c r="AG289" s="102">
        <f t="shared" si="477"/>
        <v>6.6000000000000003E-2</v>
      </c>
      <c r="AH289" s="102">
        <f t="shared" si="491"/>
        <v>6.9000000000000006E-2</v>
      </c>
      <c r="AI289" s="21">
        <f t="shared" si="492"/>
        <v>180</v>
      </c>
      <c r="AJ289" s="21">
        <f t="shared" si="493"/>
        <v>60</v>
      </c>
      <c r="AK289" s="101">
        <f t="shared" si="494"/>
        <v>1E-3</v>
      </c>
      <c r="AL289" s="21">
        <f t="shared" si="495"/>
        <v>3</v>
      </c>
      <c r="AM289" s="21">
        <f t="shared" si="496"/>
        <v>1500</v>
      </c>
      <c r="AN289" s="101">
        <f t="shared" si="497"/>
        <v>0.1</v>
      </c>
      <c r="AO289" s="185" t="str">
        <f t="shared" si="442"/>
        <v>NaN</v>
      </c>
    </row>
    <row r="290" spans="1:41" x14ac:dyDescent="0.2">
      <c r="A290" s="194" t="s">
        <v>296</v>
      </c>
      <c r="B290" s="194" t="s">
        <v>296</v>
      </c>
      <c r="C290" s="52">
        <v>35185</v>
      </c>
      <c r="D290" s="105">
        <v>59.184800000000003</v>
      </c>
      <c r="E290" s="105">
        <v>17.642800000000001</v>
      </c>
      <c r="F290" s="20">
        <v>8195</v>
      </c>
      <c r="G290" s="18">
        <v>0</v>
      </c>
      <c r="H290" s="53">
        <v>5</v>
      </c>
      <c r="I290" s="167">
        <f t="shared" si="498"/>
        <v>-0.54700000000000004</v>
      </c>
      <c r="J290" s="104">
        <f t="shared" si="498"/>
        <v>0.35899999999999999</v>
      </c>
      <c r="K290" s="104">
        <f t="shared" si="498"/>
        <v>-7.3999999999999996E-2</v>
      </c>
      <c r="L290" s="105">
        <f t="shared" si="499"/>
        <v>0.124</v>
      </c>
      <c r="M290" s="105">
        <f t="shared" si="500"/>
        <v>4.2599999999999999E-2</v>
      </c>
      <c r="N290" s="105">
        <f t="shared" si="500"/>
        <v>4.4999999999999998E-2</v>
      </c>
      <c r="O290" s="20">
        <f t="shared" si="500"/>
        <v>180</v>
      </c>
      <c r="P290" s="20">
        <f t="shared" si="500"/>
        <v>60</v>
      </c>
      <c r="Q290" s="104">
        <f t="shared" si="500"/>
        <v>1E-3</v>
      </c>
      <c r="R290" s="20">
        <f t="shared" si="500"/>
        <v>3</v>
      </c>
      <c r="S290" s="20">
        <f t="shared" si="500"/>
        <v>1500</v>
      </c>
      <c r="T290" s="104">
        <f t="shared" si="500"/>
        <v>0.1</v>
      </c>
      <c r="U290" s="54" t="s">
        <v>282</v>
      </c>
      <c r="V290" s="21"/>
      <c r="W290" s="58">
        <f t="shared" si="483"/>
        <v>35185</v>
      </c>
      <c r="X290" s="102">
        <f t="shared" si="501"/>
        <v>59.184800000000003</v>
      </c>
      <c r="Y290" s="102">
        <f t="shared" si="502"/>
        <v>17.642800000000001</v>
      </c>
      <c r="Z290" s="21">
        <f t="shared" si="486"/>
        <v>8195</v>
      </c>
      <c r="AA290" s="44">
        <f t="shared" si="487"/>
        <v>0</v>
      </c>
      <c r="AB290" s="21">
        <f t="shared" si="488"/>
        <v>5</v>
      </c>
      <c r="AC290" s="121">
        <f>ROUND(I290+mwreg!$G$32/100,3)</f>
        <v>-0.46500000000000002</v>
      </c>
      <c r="AD290" s="101">
        <f>ROUND(J290+mwreg!$G$32/100,3)</f>
        <v>0.441</v>
      </c>
      <c r="AE290" s="101">
        <f>ROUND(K290+mwreg!$G$32/100,3)</f>
        <v>8.0000000000000002E-3</v>
      </c>
      <c r="AF290" s="102">
        <f t="shared" si="476"/>
        <v>0.124</v>
      </c>
      <c r="AG290" s="102">
        <f t="shared" si="477"/>
        <v>4.2599999999999999E-2</v>
      </c>
      <c r="AH290" s="102">
        <f t="shared" si="491"/>
        <v>4.4999999999999998E-2</v>
      </c>
      <c r="AI290" s="21">
        <f t="shared" si="492"/>
        <v>180</v>
      </c>
      <c r="AJ290" s="21">
        <f t="shared" si="493"/>
        <v>60</v>
      </c>
      <c r="AK290" s="101">
        <f t="shared" si="494"/>
        <v>1E-3</v>
      </c>
      <c r="AL290" s="21">
        <f t="shared" si="495"/>
        <v>3</v>
      </c>
      <c r="AM290" s="21">
        <f t="shared" si="496"/>
        <v>1500</v>
      </c>
      <c r="AN290" s="101">
        <f t="shared" si="497"/>
        <v>0.1</v>
      </c>
      <c r="AO290" s="185" t="str">
        <f t="shared" ref="AO290:AO353" si="503">U290</f>
        <v>NaN</v>
      </c>
    </row>
    <row r="291" spans="1:41" x14ac:dyDescent="0.2">
      <c r="A291" s="194" t="s">
        <v>296</v>
      </c>
      <c r="B291" s="194" t="s">
        <v>296</v>
      </c>
      <c r="C291" s="52">
        <v>35185</v>
      </c>
      <c r="D291" s="105">
        <v>59.184800000000003</v>
      </c>
      <c r="E291" s="105">
        <v>17.642800000000001</v>
      </c>
      <c r="F291" s="20">
        <v>8195</v>
      </c>
      <c r="G291" s="18">
        <v>0</v>
      </c>
      <c r="H291" s="53">
        <v>6</v>
      </c>
      <c r="I291" s="167">
        <f t="shared" si="498"/>
        <v>-0.39600000000000002</v>
      </c>
      <c r="J291" s="104">
        <f t="shared" si="498"/>
        <v>0.36799999999999999</v>
      </c>
      <c r="K291" s="104">
        <f t="shared" si="498"/>
        <v>-4.2000000000000003E-2</v>
      </c>
      <c r="L291" s="105">
        <f t="shared" si="499"/>
        <v>0.10290000000000001</v>
      </c>
      <c r="M291" s="105">
        <f t="shared" si="500"/>
        <v>5.74E-2</v>
      </c>
      <c r="N291" s="105">
        <f t="shared" si="500"/>
        <v>0.06</v>
      </c>
      <c r="O291" s="20">
        <f t="shared" si="500"/>
        <v>180</v>
      </c>
      <c r="P291" s="20">
        <f t="shared" si="500"/>
        <v>60</v>
      </c>
      <c r="Q291" s="104">
        <f t="shared" si="500"/>
        <v>1E-3</v>
      </c>
      <c r="R291" s="20">
        <f t="shared" si="500"/>
        <v>3</v>
      </c>
      <c r="S291" s="20">
        <f t="shared" si="500"/>
        <v>1500</v>
      </c>
      <c r="T291" s="104">
        <f t="shared" si="500"/>
        <v>0.1</v>
      </c>
      <c r="U291" s="54" t="s">
        <v>282</v>
      </c>
      <c r="V291" s="21"/>
      <c r="W291" s="58">
        <f t="shared" si="483"/>
        <v>35185</v>
      </c>
      <c r="X291" s="102">
        <f t="shared" si="501"/>
        <v>59.184800000000003</v>
      </c>
      <c r="Y291" s="102">
        <f t="shared" si="502"/>
        <v>17.642800000000001</v>
      </c>
      <c r="Z291" s="21">
        <f t="shared" si="486"/>
        <v>8195</v>
      </c>
      <c r="AA291" s="44">
        <f t="shared" si="487"/>
        <v>0</v>
      </c>
      <c r="AB291" s="21">
        <f t="shared" si="488"/>
        <v>6</v>
      </c>
      <c r="AC291" s="121">
        <f>ROUND(I291+mwreg!$G$32/100,3)</f>
        <v>-0.314</v>
      </c>
      <c r="AD291" s="101">
        <f>ROUND(J291+mwreg!$G$32/100,3)</f>
        <v>0.45</v>
      </c>
      <c r="AE291" s="101">
        <f>ROUND(K291+mwreg!$G$32/100,3)</f>
        <v>0.04</v>
      </c>
      <c r="AF291" s="102">
        <f t="shared" si="476"/>
        <v>0.10290000000000001</v>
      </c>
      <c r="AG291" s="102">
        <f t="shared" si="477"/>
        <v>5.74E-2</v>
      </c>
      <c r="AH291" s="102">
        <f t="shared" si="491"/>
        <v>0.06</v>
      </c>
      <c r="AI291" s="21">
        <f t="shared" si="492"/>
        <v>180</v>
      </c>
      <c r="AJ291" s="21">
        <f t="shared" si="493"/>
        <v>60</v>
      </c>
      <c r="AK291" s="101">
        <f t="shared" si="494"/>
        <v>1E-3</v>
      </c>
      <c r="AL291" s="21">
        <f t="shared" si="495"/>
        <v>3</v>
      </c>
      <c r="AM291" s="21">
        <f t="shared" si="496"/>
        <v>1500</v>
      </c>
      <c r="AN291" s="101">
        <f t="shared" si="497"/>
        <v>0.1</v>
      </c>
      <c r="AO291" s="185" t="str">
        <f t="shared" si="503"/>
        <v>NaN</v>
      </c>
    </row>
    <row r="292" spans="1:41" x14ac:dyDescent="0.2">
      <c r="A292" s="194" t="s">
        <v>296</v>
      </c>
      <c r="B292" s="194" t="s">
        <v>296</v>
      </c>
      <c r="C292" s="52">
        <v>35185</v>
      </c>
      <c r="D292" s="105">
        <v>59.184800000000003</v>
      </c>
      <c r="E292" s="105">
        <v>17.642800000000001</v>
      </c>
      <c r="F292" s="20">
        <v>8195</v>
      </c>
      <c r="G292" s="18">
        <v>0</v>
      </c>
      <c r="H292" s="53">
        <v>7</v>
      </c>
      <c r="I292" s="167">
        <f t="shared" si="498"/>
        <v>-0.28799999999999998</v>
      </c>
      <c r="J292" s="104">
        <f t="shared" si="498"/>
        <v>0.63100000000000001</v>
      </c>
      <c r="K292" s="104">
        <f t="shared" si="498"/>
        <v>7.1999999999999995E-2</v>
      </c>
      <c r="L292" s="105">
        <f t="shared" si="499"/>
        <v>0.106</v>
      </c>
      <c r="M292" s="105">
        <f t="shared" si="500"/>
        <v>4.0099999999999997E-2</v>
      </c>
      <c r="N292" s="105">
        <f t="shared" si="500"/>
        <v>4.2000000000000003E-2</v>
      </c>
      <c r="O292" s="20">
        <f t="shared" si="500"/>
        <v>180</v>
      </c>
      <c r="P292" s="20">
        <f t="shared" si="500"/>
        <v>60</v>
      </c>
      <c r="Q292" s="104">
        <f t="shared" si="500"/>
        <v>1E-3</v>
      </c>
      <c r="R292" s="20">
        <f t="shared" si="500"/>
        <v>3</v>
      </c>
      <c r="S292" s="20">
        <f t="shared" si="500"/>
        <v>1500</v>
      </c>
      <c r="T292" s="104">
        <f t="shared" si="500"/>
        <v>0.1</v>
      </c>
      <c r="U292" s="54" t="s">
        <v>282</v>
      </c>
      <c r="V292" s="21"/>
      <c r="W292" s="58">
        <f t="shared" si="483"/>
        <v>35185</v>
      </c>
      <c r="X292" s="102">
        <f t="shared" si="501"/>
        <v>59.184800000000003</v>
      </c>
      <c r="Y292" s="102">
        <f t="shared" si="502"/>
        <v>17.642800000000001</v>
      </c>
      <c r="Z292" s="21">
        <f t="shared" si="486"/>
        <v>8195</v>
      </c>
      <c r="AA292" s="44">
        <f t="shared" si="487"/>
        <v>0</v>
      </c>
      <c r="AB292" s="21">
        <f t="shared" si="488"/>
        <v>7</v>
      </c>
      <c r="AC292" s="121">
        <f>ROUND(I292+mwreg!$G$32/100,3)</f>
        <v>-0.20599999999999999</v>
      </c>
      <c r="AD292" s="101">
        <f>ROUND(J292+mwreg!$G$32/100,3)</f>
        <v>0.71299999999999997</v>
      </c>
      <c r="AE292" s="101">
        <f>ROUND(K292+mwreg!$G$32/100,3)</f>
        <v>0.154</v>
      </c>
      <c r="AF292" s="102">
        <f t="shared" si="476"/>
        <v>0.106</v>
      </c>
      <c r="AG292" s="102">
        <f t="shared" si="477"/>
        <v>4.0099999999999997E-2</v>
      </c>
      <c r="AH292" s="102">
        <f t="shared" si="491"/>
        <v>4.2000000000000003E-2</v>
      </c>
      <c r="AI292" s="21">
        <f t="shared" si="492"/>
        <v>180</v>
      </c>
      <c r="AJ292" s="21">
        <f t="shared" si="493"/>
        <v>60</v>
      </c>
      <c r="AK292" s="101">
        <f t="shared" si="494"/>
        <v>1E-3</v>
      </c>
      <c r="AL292" s="21">
        <f t="shared" si="495"/>
        <v>3</v>
      </c>
      <c r="AM292" s="21">
        <f t="shared" si="496"/>
        <v>1500</v>
      </c>
      <c r="AN292" s="101">
        <f t="shared" si="497"/>
        <v>0.1</v>
      </c>
      <c r="AO292" s="185" t="str">
        <f t="shared" si="503"/>
        <v>NaN</v>
      </c>
    </row>
    <row r="293" spans="1:41" x14ac:dyDescent="0.2">
      <c r="A293" s="194" t="s">
        <v>296</v>
      </c>
      <c r="B293" s="194" t="s">
        <v>296</v>
      </c>
      <c r="C293" s="52">
        <v>35185</v>
      </c>
      <c r="D293" s="105">
        <v>59.184800000000003</v>
      </c>
      <c r="E293" s="105">
        <v>17.642800000000001</v>
      </c>
      <c r="F293" s="20">
        <v>8195</v>
      </c>
      <c r="G293" s="18">
        <v>0</v>
      </c>
      <c r="H293" s="53">
        <v>8</v>
      </c>
      <c r="I293" s="167">
        <f t="shared" si="498"/>
        <v>-0.35599999999999998</v>
      </c>
      <c r="J293" s="104">
        <f t="shared" si="498"/>
        <v>0.53800000000000003</v>
      </c>
      <c r="K293" s="104">
        <f t="shared" si="498"/>
        <v>0.04</v>
      </c>
      <c r="L293" s="105">
        <f t="shared" si="499"/>
        <v>0.1052</v>
      </c>
      <c r="M293" s="105">
        <f t="shared" si="500"/>
        <v>5.9499999999999997E-2</v>
      </c>
      <c r="N293" s="105">
        <f t="shared" si="500"/>
        <v>6.2E-2</v>
      </c>
      <c r="O293" s="20">
        <f t="shared" si="500"/>
        <v>180</v>
      </c>
      <c r="P293" s="20">
        <f t="shared" si="500"/>
        <v>60</v>
      </c>
      <c r="Q293" s="104">
        <f t="shared" si="500"/>
        <v>1E-3</v>
      </c>
      <c r="R293" s="20">
        <f t="shared" si="500"/>
        <v>3</v>
      </c>
      <c r="S293" s="20">
        <f t="shared" si="500"/>
        <v>1500</v>
      </c>
      <c r="T293" s="104">
        <f t="shared" si="500"/>
        <v>0.1</v>
      </c>
      <c r="U293" s="54" t="s">
        <v>282</v>
      </c>
      <c r="V293" s="21"/>
      <c r="W293" s="58">
        <f t="shared" si="483"/>
        <v>35185</v>
      </c>
      <c r="X293" s="102">
        <f t="shared" si="501"/>
        <v>59.184800000000003</v>
      </c>
      <c r="Y293" s="102">
        <f t="shared" si="502"/>
        <v>17.642800000000001</v>
      </c>
      <c r="Z293" s="21">
        <f t="shared" si="486"/>
        <v>8195</v>
      </c>
      <c r="AA293" s="44">
        <f t="shared" si="487"/>
        <v>0</v>
      </c>
      <c r="AB293" s="21">
        <f t="shared" si="488"/>
        <v>8</v>
      </c>
      <c r="AC293" s="121">
        <f>ROUND(I293+mwreg!$G$32/100,3)</f>
        <v>-0.27400000000000002</v>
      </c>
      <c r="AD293" s="101">
        <f>ROUND(J293+mwreg!$G$32/100,3)</f>
        <v>0.62</v>
      </c>
      <c r="AE293" s="101">
        <f>ROUND(K293+mwreg!$G$32/100,3)</f>
        <v>0.122</v>
      </c>
      <c r="AF293" s="102">
        <f t="shared" si="476"/>
        <v>0.1052</v>
      </c>
      <c r="AG293" s="102">
        <f t="shared" si="477"/>
        <v>5.9499999999999997E-2</v>
      </c>
      <c r="AH293" s="102">
        <f t="shared" si="491"/>
        <v>6.2E-2</v>
      </c>
      <c r="AI293" s="21">
        <f t="shared" si="492"/>
        <v>180</v>
      </c>
      <c r="AJ293" s="21">
        <f t="shared" si="493"/>
        <v>60</v>
      </c>
      <c r="AK293" s="101">
        <f t="shared" si="494"/>
        <v>1E-3</v>
      </c>
      <c r="AL293" s="21">
        <f t="shared" si="495"/>
        <v>3</v>
      </c>
      <c r="AM293" s="21">
        <f t="shared" si="496"/>
        <v>1500</v>
      </c>
      <c r="AN293" s="101">
        <f t="shared" si="497"/>
        <v>0.1</v>
      </c>
      <c r="AO293" s="185" t="str">
        <f t="shared" si="503"/>
        <v>NaN</v>
      </c>
    </row>
    <row r="294" spans="1:41" x14ac:dyDescent="0.2">
      <c r="A294" s="194" t="s">
        <v>296</v>
      </c>
      <c r="B294" s="194" t="s">
        <v>296</v>
      </c>
      <c r="C294" s="52">
        <v>35185</v>
      </c>
      <c r="D294" s="105">
        <v>59.184800000000003</v>
      </c>
      <c r="E294" s="105">
        <v>17.642800000000001</v>
      </c>
      <c r="F294" s="20">
        <v>8195</v>
      </c>
      <c r="G294" s="18">
        <v>0</v>
      </c>
      <c r="H294" s="53">
        <v>9</v>
      </c>
      <c r="I294" s="167">
        <f t="shared" si="498"/>
        <v>-0.42899999999999999</v>
      </c>
      <c r="J294" s="104">
        <f t="shared" si="498"/>
        <v>0.64800000000000002</v>
      </c>
      <c r="K294" s="104">
        <f t="shared" si="498"/>
        <v>0.08</v>
      </c>
      <c r="L294" s="105">
        <f t="shared" si="499"/>
        <v>0.12870000000000001</v>
      </c>
      <c r="M294" s="105">
        <f t="shared" si="500"/>
        <v>4.7899999999999998E-2</v>
      </c>
      <c r="N294" s="105">
        <f t="shared" si="500"/>
        <v>5.0999999999999997E-2</v>
      </c>
      <c r="O294" s="20">
        <f t="shared" si="500"/>
        <v>180</v>
      </c>
      <c r="P294" s="20">
        <f t="shared" si="500"/>
        <v>60</v>
      </c>
      <c r="Q294" s="104">
        <f t="shared" si="500"/>
        <v>1E-3</v>
      </c>
      <c r="R294" s="20">
        <f t="shared" si="500"/>
        <v>3</v>
      </c>
      <c r="S294" s="20">
        <f t="shared" si="500"/>
        <v>1500</v>
      </c>
      <c r="T294" s="104">
        <f t="shared" si="500"/>
        <v>0.1</v>
      </c>
      <c r="U294" s="54" t="s">
        <v>282</v>
      </c>
      <c r="V294" s="21"/>
      <c r="W294" s="58">
        <f t="shared" si="483"/>
        <v>35185</v>
      </c>
      <c r="X294" s="102">
        <f t="shared" si="501"/>
        <v>59.184800000000003</v>
      </c>
      <c r="Y294" s="102">
        <f t="shared" si="502"/>
        <v>17.642800000000001</v>
      </c>
      <c r="Z294" s="21">
        <f t="shared" si="486"/>
        <v>8195</v>
      </c>
      <c r="AA294" s="44">
        <f t="shared" si="487"/>
        <v>0</v>
      </c>
      <c r="AB294" s="21">
        <f t="shared" si="488"/>
        <v>9</v>
      </c>
      <c r="AC294" s="121">
        <f>ROUND(I294+mwreg!$G$32/100,3)</f>
        <v>-0.34699999999999998</v>
      </c>
      <c r="AD294" s="101">
        <f>ROUND(J294+mwreg!$G$32/100,3)</f>
        <v>0.73</v>
      </c>
      <c r="AE294" s="101">
        <f>ROUND(K294+mwreg!$G$32/100,3)</f>
        <v>0.16200000000000001</v>
      </c>
      <c r="AF294" s="102">
        <f t="shared" si="476"/>
        <v>0.12870000000000001</v>
      </c>
      <c r="AG294" s="102">
        <f t="shared" si="477"/>
        <v>4.7899999999999998E-2</v>
      </c>
      <c r="AH294" s="102">
        <f t="shared" si="491"/>
        <v>5.0999999999999997E-2</v>
      </c>
      <c r="AI294" s="21">
        <f t="shared" si="492"/>
        <v>180</v>
      </c>
      <c r="AJ294" s="21">
        <f t="shared" si="493"/>
        <v>60</v>
      </c>
      <c r="AK294" s="101">
        <f t="shared" si="494"/>
        <v>1E-3</v>
      </c>
      <c r="AL294" s="21">
        <f t="shared" si="495"/>
        <v>3</v>
      </c>
      <c r="AM294" s="21">
        <f t="shared" si="496"/>
        <v>1500</v>
      </c>
      <c r="AN294" s="101">
        <f t="shared" si="497"/>
        <v>0.1</v>
      </c>
      <c r="AO294" s="185" t="str">
        <f t="shared" si="503"/>
        <v>NaN</v>
      </c>
    </row>
    <row r="295" spans="1:41" x14ac:dyDescent="0.2">
      <c r="A295" s="194" t="s">
        <v>296</v>
      </c>
      <c r="B295" s="194" t="s">
        <v>296</v>
      </c>
      <c r="C295" s="52">
        <v>35185</v>
      </c>
      <c r="D295" s="105">
        <v>59.184800000000003</v>
      </c>
      <c r="E295" s="105">
        <v>17.642800000000001</v>
      </c>
      <c r="F295" s="20">
        <v>8195</v>
      </c>
      <c r="G295" s="18">
        <v>0</v>
      </c>
      <c r="H295" s="53">
        <v>10</v>
      </c>
      <c r="I295" s="167">
        <f t="shared" si="498"/>
        <v>-0.53900000000000003</v>
      </c>
      <c r="J295" s="104">
        <f t="shared" si="498"/>
        <v>0.81499999999999995</v>
      </c>
      <c r="K295" s="104">
        <f t="shared" si="498"/>
        <v>4.1000000000000002E-2</v>
      </c>
      <c r="L295" s="105">
        <f t="shared" si="499"/>
        <v>0.15920000000000001</v>
      </c>
      <c r="M295" s="105">
        <f t="shared" si="500"/>
        <v>6.93E-2</v>
      </c>
      <c r="N295" s="105">
        <f t="shared" si="500"/>
        <v>7.2999999999999995E-2</v>
      </c>
      <c r="O295" s="20">
        <f t="shared" si="500"/>
        <v>180</v>
      </c>
      <c r="P295" s="20">
        <f t="shared" si="500"/>
        <v>60</v>
      </c>
      <c r="Q295" s="104">
        <f t="shared" si="500"/>
        <v>1E-3</v>
      </c>
      <c r="R295" s="20">
        <f t="shared" si="500"/>
        <v>3</v>
      </c>
      <c r="S295" s="20">
        <f t="shared" si="500"/>
        <v>1500</v>
      </c>
      <c r="T295" s="104">
        <f t="shared" si="500"/>
        <v>0.1</v>
      </c>
      <c r="U295" s="54" t="s">
        <v>282</v>
      </c>
      <c r="V295" s="21"/>
      <c r="W295" s="58">
        <f t="shared" si="483"/>
        <v>35185</v>
      </c>
      <c r="X295" s="102">
        <f t="shared" si="501"/>
        <v>59.184800000000003</v>
      </c>
      <c r="Y295" s="102">
        <f t="shared" si="502"/>
        <v>17.642800000000001</v>
      </c>
      <c r="Z295" s="21">
        <f t="shared" si="486"/>
        <v>8195</v>
      </c>
      <c r="AA295" s="44">
        <f t="shared" si="487"/>
        <v>0</v>
      </c>
      <c r="AB295" s="21">
        <f t="shared" si="488"/>
        <v>10</v>
      </c>
      <c r="AC295" s="121">
        <f>ROUND(I295+mwreg!$G$32/100,3)</f>
        <v>-0.45700000000000002</v>
      </c>
      <c r="AD295" s="101">
        <f>ROUND(J295+mwreg!$G$32/100,3)</f>
        <v>0.89700000000000002</v>
      </c>
      <c r="AE295" s="101">
        <f>ROUND(K295+mwreg!$G$32/100,3)</f>
        <v>0.123</v>
      </c>
      <c r="AF295" s="102">
        <f t="shared" si="476"/>
        <v>0.15920000000000001</v>
      </c>
      <c r="AG295" s="102">
        <f t="shared" si="477"/>
        <v>6.93E-2</v>
      </c>
      <c r="AH295" s="102">
        <f t="shared" si="491"/>
        <v>7.2999999999999995E-2</v>
      </c>
      <c r="AI295" s="21">
        <f t="shared" si="492"/>
        <v>180</v>
      </c>
      <c r="AJ295" s="21">
        <f t="shared" si="493"/>
        <v>60</v>
      </c>
      <c r="AK295" s="101">
        <f t="shared" si="494"/>
        <v>1E-3</v>
      </c>
      <c r="AL295" s="21">
        <f t="shared" si="495"/>
        <v>3</v>
      </c>
      <c r="AM295" s="21">
        <f t="shared" si="496"/>
        <v>1500</v>
      </c>
      <c r="AN295" s="101">
        <f t="shared" si="497"/>
        <v>0.1</v>
      </c>
      <c r="AO295" s="185" t="str">
        <f t="shared" si="503"/>
        <v>NaN</v>
      </c>
    </row>
    <row r="296" spans="1:41" x14ac:dyDescent="0.2">
      <c r="A296" s="194" t="s">
        <v>296</v>
      </c>
      <c r="B296" s="194" t="s">
        <v>296</v>
      </c>
      <c r="C296" s="52">
        <v>35185</v>
      </c>
      <c r="D296" s="105">
        <v>59.184800000000003</v>
      </c>
      <c r="E296" s="105">
        <v>17.642800000000001</v>
      </c>
      <c r="F296" s="20">
        <v>8195</v>
      </c>
      <c r="G296" s="18">
        <v>0</v>
      </c>
      <c r="H296" s="53">
        <v>11</v>
      </c>
      <c r="I296" s="167">
        <f t="shared" si="498"/>
        <v>-0.50800000000000001</v>
      </c>
      <c r="J296" s="104">
        <f t="shared" si="498"/>
        <v>0.746</v>
      </c>
      <c r="K296" s="104">
        <f t="shared" si="498"/>
        <v>0.06</v>
      </c>
      <c r="L296" s="105">
        <f t="shared" si="499"/>
        <v>0.18590000000000001</v>
      </c>
      <c r="M296" s="105">
        <f t="shared" si="500"/>
        <v>8.3599999999999994E-2</v>
      </c>
      <c r="N296" s="105">
        <f t="shared" si="500"/>
        <v>8.7999999999999995E-2</v>
      </c>
      <c r="O296" s="20">
        <f t="shared" si="500"/>
        <v>180</v>
      </c>
      <c r="P296" s="20">
        <f t="shared" si="500"/>
        <v>60</v>
      </c>
      <c r="Q296" s="104">
        <f t="shared" si="500"/>
        <v>1E-3</v>
      </c>
      <c r="R296" s="20">
        <f t="shared" si="500"/>
        <v>3</v>
      </c>
      <c r="S296" s="20">
        <f t="shared" si="500"/>
        <v>1500</v>
      </c>
      <c r="T296" s="104">
        <f t="shared" si="500"/>
        <v>0.1</v>
      </c>
      <c r="U296" s="54" t="s">
        <v>282</v>
      </c>
      <c r="V296" s="21"/>
      <c r="W296" s="58">
        <f t="shared" si="483"/>
        <v>35185</v>
      </c>
      <c r="X296" s="102">
        <f t="shared" si="501"/>
        <v>59.184800000000003</v>
      </c>
      <c r="Y296" s="102">
        <f t="shared" si="502"/>
        <v>17.642800000000001</v>
      </c>
      <c r="Z296" s="21">
        <f t="shared" si="486"/>
        <v>8195</v>
      </c>
      <c r="AA296" s="44">
        <f t="shared" si="487"/>
        <v>0</v>
      </c>
      <c r="AB296" s="21">
        <f t="shared" si="488"/>
        <v>11</v>
      </c>
      <c r="AC296" s="121">
        <f>ROUND(I296+mwreg!$G$32/100,3)</f>
        <v>-0.42599999999999999</v>
      </c>
      <c r="AD296" s="101">
        <f>ROUND(J296+mwreg!$G$32/100,3)</f>
        <v>0.82799999999999996</v>
      </c>
      <c r="AE296" s="101">
        <f>ROUND(K296+mwreg!$G$32/100,3)</f>
        <v>0.14199999999999999</v>
      </c>
      <c r="AF296" s="102">
        <f t="shared" si="476"/>
        <v>0.18590000000000001</v>
      </c>
      <c r="AG296" s="102">
        <f t="shared" si="477"/>
        <v>8.3599999999999994E-2</v>
      </c>
      <c r="AH296" s="102">
        <f t="shared" si="491"/>
        <v>8.7999999999999995E-2</v>
      </c>
      <c r="AI296" s="21">
        <f t="shared" si="492"/>
        <v>180</v>
      </c>
      <c r="AJ296" s="21">
        <f t="shared" si="493"/>
        <v>60</v>
      </c>
      <c r="AK296" s="101">
        <f t="shared" si="494"/>
        <v>1E-3</v>
      </c>
      <c r="AL296" s="21">
        <f t="shared" si="495"/>
        <v>3</v>
      </c>
      <c r="AM296" s="21">
        <f t="shared" si="496"/>
        <v>1500</v>
      </c>
      <c r="AN296" s="101">
        <f t="shared" si="497"/>
        <v>0.1</v>
      </c>
      <c r="AO296" s="185" t="str">
        <f t="shared" si="503"/>
        <v>NaN</v>
      </c>
    </row>
    <row r="297" spans="1:41" x14ac:dyDescent="0.2">
      <c r="A297" s="194" t="s">
        <v>296</v>
      </c>
      <c r="B297" s="194" t="s">
        <v>296</v>
      </c>
      <c r="C297" s="52">
        <v>35185</v>
      </c>
      <c r="D297" s="105">
        <v>59.184800000000003</v>
      </c>
      <c r="E297" s="105">
        <v>17.642800000000001</v>
      </c>
      <c r="F297" s="20">
        <v>8195</v>
      </c>
      <c r="G297" s="18">
        <v>0</v>
      </c>
      <c r="H297" s="53">
        <v>12</v>
      </c>
      <c r="I297" s="167">
        <f t="shared" si="498"/>
        <v>-0.58799999999999997</v>
      </c>
      <c r="J297" s="104">
        <f t="shared" si="498"/>
        <v>0.89800000000000002</v>
      </c>
      <c r="K297" s="104">
        <f t="shared" si="498"/>
        <v>0.11799999999999999</v>
      </c>
      <c r="L297" s="105">
        <f t="shared" si="499"/>
        <v>0.1988</v>
      </c>
      <c r="M297" s="105">
        <f t="shared" si="500"/>
        <v>7.1599999999999997E-2</v>
      </c>
      <c r="N297" s="105">
        <f t="shared" si="500"/>
        <v>7.5999999999999998E-2</v>
      </c>
      <c r="O297" s="20">
        <f t="shared" si="500"/>
        <v>180</v>
      </c>
      <c r="P297" s="20">
        <f t="shared" si="500"/>
        <v>60</v>
      </c>
      <c r="Q297" s="104">
        <f t="shared" si="500"/>
        <v>1E-3</v>
      </c>
      <c r="R297" s="20">
        <f t="shared" si="500"/>
        <v>3</v>
      </c>
      <c r="S297" s="20">
        <f t="shared" si="500"/>
        <v>1500</v>
      </c>
      <c r="T297" s="104">
        <f t="shared" si="500"/>
        <v>0.1</v>
      </c>
      <c r="U297" s="54" t="s">
        <v>282</v>
      </c>
      <c r="V297" s="21"/>
      <c r="W297" s="58">
        <f t="shared" si="483"/>
        <v>35185</v>
      </c>
      <c r="X297" s="102">
        <f t="shared" si="501"/>
        <v>59.184800000000003</v>
      </c>
      <c r="Y297" s="102">
        <f t="shared" si="502"/>
        <v>17.642800000000001</v>
      </c>
      <c r="Z297" s="21">
        <f t="shared" si="486"/>
        <v>8195</v>
      </c>
      <c r="AA297" s="44">
        <f t="shared" si="487"/>
        <v>0</v>
      </c>
      <c r="AB297" s="21">
        <f t="shared" si="488"/>
        <v>12</v>
      </c>
      <c r="AC297" s="121">
        <f>ROUND(I297+mwreg!$G$32/100,3)</f>
        <v>-0.50600000000000001</v>
      </c>
      <c r="AD297" s="101">
        <f>ROUND(J297+mwreg!$G$32/100,3)</f>
        <v>0.98</v>
      </c>
      <c r="AE297" s="101">
        <f>ROUND(K297+mwreg!$G$32/100,3)</f>
        <v>0.2</v>
      </c>
      <c r="AF297" s="102">
        <f t="shared" si="476"/>
        <v>0.1988</v>
      </c>
      <c r="AG297" s="102">
        <f t="shared" si="477"/>
        <v>7.1599999999999997E-2</v>
      </c>
      <c r="AH297" s="102">
        <f t="shared" si="491"/>
        <v>7.5999999999999998E-2</v>
      </c>
      <c r="AI297" s="21">
        <f t="shared" si="492"/>
        <v>180</v>
      </c>
      <c r="AJ297" s="21">
        <f t="shared" si="493"/>
        <v>60</v>
      </c>
      <c r="AK297" s="101">
        <f t="shared" si="494"/>
        <v>1E-3</v>
      </c>
      <c r="AL297" s="21">
        <f t="shared" si="495"/>
        <v>3</v>
      </c>
      <c r="AM297" s="21">
        <f t="shared" si="496"/>
        <v>1500</v>
      </c>
      <c r="AN297" s="101">
        <f t="shared" si="497"/>
        <v>0.1</v>
      </c>
      <c r="AO297" s="185" t="str">
        <f t="shared" si="503"/>
        <v>NaN</v>
      </c>
    </row>
    <row r="298" spans="1:41" x14ac:dyDescent="0.2">
      <c r="A298" s="194" t="str">
        <f>stat_uppg!A33</f>
        <v>10/35118</v>
      </c>
      <c r="B298" s="194" t="str">
        <f>stat_uppg!B33</f>
        <v>OXELÖSUND VINTERKLASEN (SJÖV)</v>
      </c>
      <c r="C298" s="52">
        <v>35161</v>
      </c>
      <c r="D298" s="105">
        <v>58.64</v>
      </c>
      <c r="E298" s="105">
        <v>17.12</v>
      </c>
      <c r="F298" s="20">
        <v>8195</v>
      </c>
      <c r="G298" s="18">
        <v>0</v>
      </c>
      <c r="H298" s="53">
        <v>1</v>
      </c>
      <c r="I298" s="121">
        <f t="shared" ref="I298:K309" si="504">ROUND(0.326*I262+0.674*I334,3)</f>
        <v>-0.63500000000000001</v>
      </c>
      <c r="J298" s="101">
        <f t="shared" si="504"/>
        <v>0.94699999999999995</v>
      </c>
      <c r="K298" s="101">
        <f t="shared" si="504"/>
        <v>0.13800000000000001</v>
      </c>
      <c r="L298" s="102">
        <f t="shared" ref="L298:Q298" si="505">ROUND(0.326*L262+0.674*L334,4)</f>
        <v>0.2286</v>
      </c>
      <c r="M298" s="102">
        <f t="shared" si="505"/>
        <v>3.04E-2</v>
      </c>
      <c r="N298" s="102">
        <f t="shared" si="505"/>
        <v>3.2599999999999997E-2</v>
      </c>
      <c r="O298" s="21">
        <f>ROUND(0.326*O262+0.674*O334,0)</f>
        <v>180</v>
      </c>
      <c r="P298" s="21">
        <f>ROUND(0.326*P262+0.674*P334,0)</f>
        <v>60</v>
      </c>
      <c r="Q298" s="101">
        <f t="shared" si="505"/>
        <v>1E-3</v>
      </c>
      <c r="R298" s="21">
        <f>ROUND(0.326*R262+0.674*R334,0)</f>
        <v>3</v>
      </c>
      <c r="S298" s="21">
        <f>ROUND(0.326*S262+0.674*S334,0)</f>
        <v>1500</v>
      </c>
      <c r="T298" s="101">
        <f>ROUND(0.326*T262+0.674*T334,3)</f>
        <v>0.1</v>
      </c>
      <c r="U298" s="123" t="s">
        <v>282</v>
      </c>
      <c r="V298" s="21"/>
      <c r="W298" s="58">
        <f t="shared" si="483"/>
        <v>35161</v>
      </c>
      <c r="X298" s="102">
        <f t="shared" si="501"/>
        <v>58.64</v>
      </c>
      <c r="Y298" s="102">
        <f t="shared" si="502"/>
        <v>17.12</v>
      </c>
      <c r="Z298" s="21">
        <f t="shared" si="486"/>
        <v>8195</v>
      </c>
      <c r="AA298" s="44">
        <f t="shared" si="487"/>
        <v>0</v>
      </c>
      <c r="AB298" s="21">
        <f t="shared" si="488"/>
        <v>1</v>
      </c>
      <c r="AC298" s="121">
        <f>ROUND(I298+mwreg!$G$33/100,3)</f>
        <v>-0.54200000000000004</v>
      </c>
      <c r="AD298" s="101">
        <f>ROUND(J298+mwreg!$G$33/100,3)</f>
        <v>1.04</v>
      </c>
      <c r="AE298" s="101">
        <f>ROUND(K298+mwreg!$G$33/100,3)</f>
        <v>0.23100000000000001</v>
      </c>
      <c r="AF298" s="102">
        <f t="shared" si="476"/>
        <v>0.2286</v>
      </c>
      <c r="AG298" s="102">
        <f t="shared" si="477"/>
        <v>3.04E-2</v>
      </c>
      <c r="AH298" s="102">
        <f t="shared" si="491"/>
        <v>3.2599999999999997E-2</v>
      </c>
      <c r="AI298" s="21">
        <f t="shared" si="492"/>
        <v>180</v>
      </c>
      <c r="AJ298" s="21">
        <f t="shared" si="493"/>
        <v>60</v>
      </c>
      <c r="AK298" s="101">
        <f t="shared" si="494"/>
        <v>1E-3</v>
      </c>
      <c r="AL298" s="21">
        <f t="shared" si="495"/>
        <v>3</v>
      </c>
      <c r="AM298" s="21">
        <f t="shared" si="496"/>
        <v>1500</v>
      </c>
      <c r="AN298" s="101">
        <f t="shared" si="497"/>
        <v>0.1</v>
      </c>
      <c r="AO298" s="185" t="str">
        <f t="shared" si="503"/>
        <v>NaN</v>
      </c>
    </row>
    <row r="299" spans="1:41" x14ac:dyDescent="0.2">
      <c r="A299" s="194" t="s">
        <v>296</v>
      </c>
      <c r="B299" s="194" t="s">
        <v>296</v>
      </c>
      <c r="C299" s="52">
        <v>35161</v>
      </c>
      <c r="D299" s="105">
        <v>58.64</v>
      </c>
      <c r="E299" s="105">
        <v>17.12</v>
      </c>
      <c r="F299" s="20">
        <v>8195</v>
      </c>
      <c r="G299" s="18">
        <v>0</v>
      </c>
      <c r="H299" s="53">
        <v>2</v>
      </c>
      <c r="I299" s="121">
        <f t="shared" si="504"/>
        <v>-0.65200000000000002</v>
      </c>
      <c r="J299" s="101">
        <f t="shared" si="504"/>
        <v>0.92700000000000005</v>
      </c>
      <c r="K299" s="101">
        <f t="shared" si="504"/>
        <v>6.2E-2</v>
      </c>
      <c r="L299" s="102">
        <f t="shared" ref="L299:N299" si="506">ROUND(0.326*L263+0.674*L335,4)</f>
        <v>0.247</v>
      </c>
      <c r="M299" s="102">
        <f t="shared" si="506"/>
        <v>3.2099999999999997E-2</v>
      </c>
      <c r="N299" s="102">
        <f t="shared" si="506"/>
        <v>3.4000000000000002E-2</v>
      </c>
      <c r="O299" s="21">
        <f t="shared" ref="O299:P299" si="507">ROUND(0.326*O263+0.674*O335,0)</f>
        <v>180</v>
      </c>
      <c r="P299" s="21">
        <f t="shared" si="507"/>
        <v>60</v>
      </c>
      <c r="Q299" s="101">
        <f t="shared" ref="Q299" si="508">ROUND(0.326*Q263+0.674*Q335,4)</f>
        <v>1E-3</v>
      </c>
      <c r="R299" s="21">
        <f t="shared" ref="R299:S299" si="509">ROUND(0.326*R263+0.674*R335,0)</f>
        <v>3</v>
      </c>
      <c r="S299" s="21">
        <f t="shared" si="509"/>
        <v>1500</v>
      </c>
      <c r="T299" s="101">
        <f t="shared" ref="T299:T309" si="510">ROUND(0.326*T263+0.674*T335,3)</f>
        <v>0.1</v>
      </c>
      <c r="U299" s="123" t="s">
        <v>282</v>
      </c>
      <c r="V299" s="21"/>
      <c r="W299" s="58">
        <f t="shared" si="483"/>
        <v>35161</v>
      </c>
      <c r="X299" s="102">
        <f t="shared" si="501"/>
        <v>58.64</v>
      </c>
      <c r="Y299" s="102">
        <f t="shared" si="502"/>
        <v>17.12</v>
      </c>
      <c r="Z299" s="21">
        <f t="shared" si="486"/>
        <v>8195</v>
      </c>
      <c r="AA299" s="44">
        <f t="shared" si="487"/>
        <v>0</v>
      </c>
      <c r="AB299" s="21">
        <f t="shared" si="488"/>
        <v>2</v>
      </c>
      <c r="AC299" s="121">
        <f>ROUND(I299+mwreg!$G$33/100,3)</f>
        <v>-0.55900000000000005</v>
      </c>
      <c r="AD299" s="101">
        <f>ROUND(J299+mwreg!$G$33/100,3)</f>
        <v>1.02</v>
      </c>
      <c r="AE299" s="101">
        <f>ROUND(K299+mwreg!$G$33/100,3)</f>
        <v>0.155</v>
      </c>
      <c r="AF299" s="102">
        <f t="shared" si="476"/>
        <v>0.247</v>
      </c>
      <c r="AG299" s="102">
        <f t="shared" si="477"/>
        <v>3.2099999999999997E-2</v>
      </c>
      <c r="AH299" s="102">
        <f t="shared" si="491"/>
        <v>3.4000000000000002E-2</v>
      </c>
      <c r="AI299" s="21">
        <f t="shared" si="492"/>
        <v>180</v>
      </c>
      <c r="AJ299" s="21">
        <f t="shared" si="493"/>
        <v>60</v>
      </c>
      <c r="AK299" s="101">
        <f t="shared" si="494"/>
        <v>1E-3</v>
      </c>
      <c r="AL299" s="21">
        <f t="shared" si="495"/>
        <v>3</v>
      </c>
      <c r="AM299" s="21">
        <f t="shared" si="496"/>
        <v>1500</v>
      </c>
      <c r="AN299" s="101">
        <f t="shared" si="497"/>
        <v>0.1</v>
      </c>
      <c r="AO299" s="185" t="str">
        <f t="shared" si="503"/>
        <v>NaN</v>
      </c>
    </row>
    <row r="300" spans="1:41" x14ac:dyDescent="0.2">
      <c r="A300" s="194" t="s">
        <v>296</v>
      </c>
      <c r="B300" s="194" t="s">
        <v>296</v>
      </c>
      <c r="C300" s="52">
        <v>35161</v>
      </c>
      <c r="D300" s="105">
        <v>58.64</v>
      </c>
      <c r="E300" s="105">
        <v>17.12</v>
      </c>
      <c r="F300" s="20">
        <v>8195</v>
      </c>
      <c r="G300" s="18">
        <v>0</v>
      </c>
      <c r="H300" s="53">
        <v>3</v>
      </c>
      <c r="I300" s="121">
        <f t="shared" si="504"/>
        <v>-0.74199999999999999</v>
      </c>
      <c r="J300" s="101">
        <f t="shared" si="504"/>
        <v>0.72599999999999998</v>
      </c>
      <c r="K300" s="101">
        <f t="shared" si="504"/>
        <v>-2.8000000000000001E-2</v>
      </c>
      <c r="L300" s="102">
        <f t="shared" ref="L300:N300" si="511">ROUND(0.326*L264+0.674*L336,4)</f>
        <v>0.20979999999999999</v>
      </c>
      <c r="M300" s="102">
        <f t="shared" si="511"/>
        <v>2.4299999999999999E-2</v>
      </c>
      <c r="N300" s="102">
        <f t="shared" si="511"/>
        <v>2.5999999999999999E-2</v>
      </c>
      <c r="O300" s="21">
        <f t="shared" ref="O300:P300" si="512">ROUND(0.326*O264+0.674*O336,0)</f>
        <v>180</v>
      </c>
      <c r="P300" s="21">
        <f t="shared" si="512"/>
        <v>60</v>
      </c>
      <c r="Q300" s="101">
        <f t="shared" ref="Q300" si="513">ROUND(0.326*Q264+0.674*Q336,4)</f>
        <v>1E-3</v>
      </c>
      <c r="R300" s="21">
        <f t="shared" ref="R300:S300" si="514">ROUND(0.326*R264+0.674*R336,0)</f>
        <v>3</v>
      </c>
      <c r="S300" s="21">
        <f t="shared" si="514"/>
        <v>1500</v>
      </c>
      <c r="T300" s="101">
        <f t="shared" si="510"/>
        <v>0.1</v>
      </c>
      <c r="U300" s="123" t="s">
        <v>282</v>
      </c>
      <c r="V300" s="21"/>
      <c r="W300" s="58">
        <f t="shared" si="483"/>
        <v>35161</v>
      </c>
      <c r="X300" s="102">
        <f t="shared" si="501"/>
        <v>58.64</v>
      </c>
      <c r="Y300" s="102">
        <f t="shared" si="502"/>
        <v>17.12</v>
      </c>
      <c r="Z300" s="21">
        <f t="shared" si="486"/>
        <v>8195</v>
      </c>
      <c r="AA300" s="44">
        <f t="shared" si="487"/>
        <v>0</v>
      </c>
      <c r="AB300" s="21">
        <f t="shared" si="488"/>
        <v>3</v>
      </c>
      <c r="AC300" s="121">
        <f>ROUND(I300+mwreg!$G$33/100,3)</f>
        <v>-0.64900000000000002</v>
      </c>
      <c r="AD300" s="101">
        <f>ROUND(J300+mwreg!$G$33/100,3)</f>
        <v>0.81899999999999995</v>
      </c>
      <c r="AE300" s="101">
        <f>ROUND(K300+mwreg!$G$33/100,3)</f>
        <v>6.5000000000000002E-2</v>
      </c>
      <c r="AF300" s="102">
        <f t="shared" si="476"/>
        <v>0.20979999999999999</v>
      </c>
      <c r="AG300" s="102">
        <f t="shared" si="477"/>
        <v>2.4299999999999999E-2</v>
      </c>
      <c r="AH300" s="102">
        <f t="shared" si="491"/>
        <v>2.5999999999999999E-2</v>
      </c>
      <c r="AI300" s="21">
        <f t="shared" si="492"/>
        <v>180</v>
      </c>
      <c r="AJ300" s="21">
        <f t="shared" si="493"/>
        <v>60</v>
      </c>
      <c r="AK300" s="101">
        <f t="shared" si="494"/>
        <v>1E-3</v>
      </c>
      <c r="AL300" s="21">
        <f t="shared" si="495"/>
        <v>3</v>
      </c>
      <c r="AM300" s="21">
        <f t="shared" si="496"/>
        <v>1500</v>
      </c>
      <c r="AN300" s="101">
        <f t="shared" si="497"/>
        <v>0.1</v>
      </c>
      <c r="AO300" s="185" t="str">
        <f t="shared" si="503"/>
        <v>NaN</v>
      </c>
    </row>
    <row r="301" spans="1:41" x14ac:dyDescent="0.2">
      <c r="A301" s="194" t="s">
        <v>296</v>
      </c>
      <c r="B301" s="194" t="s">
        <v>296</v>
      </c>
      <c r="C301" s="52">
        <v>35161</v>
      </c>
      <c r="D301" s="105">
        <v>58.64</v>
      </c>
      <c r="E301" s="105">
        <v>17.12</v>
      </c>
      <c r="F301" s="20">
        <v>8195</v>
      </c>
      <c r="G301" s="18">
        <v>0</v>
      </c>
      <c r="H301" s="53">
        <v>4</v>
      </c>
      <c r="I301" s="121">
        <f t="shared" si="504"/>
        <v>-0.52800000000000002</v>
      </c>
      <c r="J301" s="101">
        <f t="shared" si="504"/>
        <v>0.503</v>
      </c>
      <c r="K301" s="101">
        <f t="shared" si="504"/>
        <v>-6.6000000000000003E-2</v>
      </c>
      <c r="L301" s="102">
        <f t="shared" ref="L301:N301" si="515">ROUND(0.326*L265+0.674*L337,4)</f>
        <v>0.1482</v>
      </c>
      <c r="M301" s="102">
        <f t="shared" si="515"/>
        <v>2.9600000000000001E-2</v>
      </c>
      <c r="N301" s="102">
        <f t="shared" si="515"/>
        <v>3.1300000000000001E-2</v>
      </c>
      <c r="O301" s="21">
        <f t="shared" ref="O301:P301" si="516">ROUND(0.326*O265+0.674*O337,0)</f>
        <v>180</v>
      </c>
      <c r="P301" s="21">
        <f t="shared" si="516"/>
        <v>60</v>
      </c>
      <c r="Q301" s="101">
        <f t="shared" ref="Q301" si="517">ROUND(0.326*Q265+0.674*Q337,4)</f>
        <v>1E-3</v>
      </c>
      <c r="R301" s="21">
        <f t="shared" ref="R301:S301" si="518">ROUND(0.326*R265+0.674*R337,0)</f>
        <v>3</v>
      </c>
      <c r="S301" s="21">
        <f t="shared" si="518"/>
        <v>1500</v>
      </c>
      <c r="T301" s="101">
        <f t="shared" si="510"/>
        <v>0.1</v>
      </c>
      <c r="U301" s="123" t="s">
        <v>282</v>
      </c>
      <c r="V301" s="21"/>
      <c r="W301" s="58">
        <f t="shared" si="483"/>
        <v>35161</v>
      </c>
      <c r="X301" s="102">
        <f t="shared" si="501"/>
        <v>58.64</v>
      </c>
      <c r="Y301" s="102">
        <f t="shared" si="502"/>
        <v>17.12</v>
      </c>
      <c r="Z301" s="21">
        <f t="shared" si="486"/>
        <v>8195</v>
      </c>
      <c r="AA301" s="44">
        <f t="shared" si="487"/>
        <v>0</v>
      </c>
      <c r="AB301" s="21">
        <f t="shared" si="488"/>
        <v>4</v>
      </c>
      <c r="AC301" s="121">
        <f>ROUND(I301+mwreg!$G$33/100,3)</f>
        <v>-0.435</v>
      </c>
      <c r="AD301" s="101">
        <f>ROUND(J301+mwreg!$G$33/100,3)</f>
        <v>0.59599999999999997</v>
      </c>
      <c r="AE301" s="101">
        <f>ROUND(K301+mwreg!$G$33/100,3)</f>
        <v>2.7E-2</v>
      </c>
      <c r="AF301" s="102">
        <f t="shared" si="476"/>
        <v>0.1482</v>
      </c>
      <c r="AG301" s="102">
        <f t="shared" si="477"/>
        <v>2.9600000000000001E-2</v>
      </c>
      <c r="AH301" s="102">
        <f t="shared" si="491"/>
        <v>3.1300000000000001E-2</v>
      </c>
      <c r="AI301" s="21">
        <f t="shared" si="492"/>
        <v>180</v>
      </c>
      <c r="AJ301" s="21">
        <f t="shared" si="493"/>
        <v>60</v>
      </c>
      <c r="AK301" s="101">
        <f t="shared" si="494"/>
        <v>1E-3</v>
      </c>
      <c r="AL301" s="21">
        <f t="shared" si="495"/>
        <v>3</v>
      </c>
      <c r="AM301" s="21">
        <f t="shared" si="496"/>
        <v>1500</v>
      </c>
      <c r="AN301" s="101">
        <f t="shared" si="497"/>
        <v>0.1</v>
      </c>
      <c r="AO301" s="185" t="str">
        <f t="shared" si="503"/>
        <v>NaN</v>
      </c>
    </row>
    <row r="302" spans="1:41" x14ac:dyDescent="0.2">
      <c r="A302" s="194" t="s">
        <v>296</v>
      </c>
      <c r="B302" s="194" t="s">
        <v>296</v>
      </c>
      <c r="C302" s="52">
        <v>35161</v>
      </c>
      <c r="D302" s="105">
        <v>58.64</v>
      </c>
      <c r="E302" s="105">
        <v>17.12</v>
      </c>
      <c r="F302" s="20">
        <v>8195</v>
      </c>
      <c r="G302" s="18">
        <v>0</v>
      </c>
      <c r="H302" s="53">
        <v>5</v>
      </c>
      <c r="I302" s="121">
        <f t="shared" si="504"/>
        <v>-0.5</v>
      </c>
      <c r="J302" s="101">
        <f t="shared" si="504"/>
        <v>0.30499999999999999</v>
      </c>
      <c r="K302" s="101">
        <f t="shared" si="504"/>
        <v>-6.7000000000000004E-2</v>
      </c>
      <c r="L302" s="102">
        <f t="shared" ref="L302:N302" si="519">ROUND(0.326*L266+0.674*L338,4)</f>
        <v>0.1138</v>
      </c>
      <c r="M302" s="102">
        <f t="shared" si="519"/>
        <v>2.4E-2</v>
      </c>
      <c r="N302" s="102">
        <f t="shared" si="519"/>
        <v>2.5499999999999998E-2</v>
      </c>
      <c r="O302" s="21">
        <f t="shared" ref="O302:P302" si="520">ROUND(0.326*O266+0.674*O338,0)</f>
        <v>180</v>
      </c>
      <c r="P302" s="21">
        <f t="shared" si="520"/>
        <v>60</v>
      </c>
      <c r="Q302" s="101">
        <f t="shared" ref="Q302" si="521">ROUND(0.326*Q266+0.674*Q338,4)</f>
        <v>1E-3</v>
      </c>
      <c r="R302" s="21">
        <f t="shared" ref="R302:S302" si="522">ROUND(0.326*R266+0.674*R338,0)</f>
        <v>3</v>
      </c>
      <c r="S302" s="21">
        <f t="shared" si="522"/>
        <v>1500</v>
      </c>
      <c r="T302" s="101">
        <f t="shared" si="510"/>
        <v>0.1</v>
      </c>
      <c r="U302" s="123" t="s">
        <v>282</v>
      </c>
      <c r="V302" s="21"/>
      <c r="W302" s="58">
        <f t="shared" si="483"/>
        <v>35161</v>
      </c>
      <c r="X302" s="102">
        <f t="shared" si="501"/>
        <v>58.64</v>
      </c>
      <c r="Y302" s="102">
        <f t="shared" si="502"/>
        <v>17.12</v>
      </c>
      <c r="Z302" s="21">
        <f t="shared" si="486"/>
        <v>8195</v>
      </c>
      <c r="AA302" s="44">
        <f t="shared" si="487"/>
        <v>0</v>
      </c>
      <c r="AB302" s="21">
        <f t="shared" si="488"/>
        <v>5</v>
      </c>
      <c r="AC302" s="121">
        <f>ROUND(I302+mwreg!$G$33/100,3)</f>
        <v>-0.40699999999999997</v>
      </c>
      <c r="AD302" s="101">
        <f>ROUND(J302+mwreg!$G$33/100,3)</f>
        <v>0.39800000000000002</v>
      </c>
      <c r="AE302" s="101">
        <f>ROUND(K302+mwreg!$G$33/100,3)</f>
        <v>2.5999999999999999E-2</v>
      </c>
      <c r="AF302" s="102">
        <f t="shared" si="476"/>
        <v>0.1138</v>
      </c>
      <c r="AG302" s="102">
        <f t="shared" si="477"/>
        <v>2.4E-2</v>
      </c>
      <c r="AH302" s="102">
        <f t="shared" si="491"/>
        <v>2.5499999999999998E-2</v>
      </c>
      <c r="AI302" s="21">
        <f t="shared" si="492"/>
        <v>180</v>
      </c>
      <c r="AJ302" s="21">
        <f t="shared" si="493"/>
        <v>60</v>
      </c>
      <c r="AK302" s="101">
        <f t="shared" si="494"/>
        <v>1E-3</v>
      </c>
      <c r="AL302" s="21">
        <f t="shared" si="495"/>
        <v>3</v>
      </c>
      <c r="AM302" s="21">
        <f t="shared" si="496"/>
        <v>1500</v>
      </c>
      <c r="AN302" s="101">
        <f t="shared" si="497"/>
        <v>0.1</v>
      </c>
      <c r="AO302" s="185" t="str">
        <f t="shared" si="503"/>
        <v>NaN</v>
      </c>
    </row>
    <row r="303" spans="1:41" x14ac:dyDescent="0.2">
      <c r="A303" s="194" t="s">
        <v>296</v>
      </c>
      <c r="B303" s="194" t="s">
        <v>296</v>
      </c>
      <c r="C303" s="52">
        <v>35161</v>
      </c>
      <c r="D303" s="105">
        <v>58.64</v>
      </c>
      <c r="E303" s="105">
        <v>17.12</v>
      </c>
      <c r="F303" s="20">
        <v>8195</v>
      </c>
      <c r="G303" s="18">
        <v>0</v>
      </c>
      <c r="H303" s="53">
        <v>6</v>
      </c>
      <c r="I303" s="121">
        <f t="shared" si="504"/>
        <v>-0.41199999999999998</v>
      </c>
      <c r="J303" s="101">
        <f t="shared" si="504"/>
        <v>0.40600000000000003</v>
      </c>
      <c r="K303" s="101">
        <f t="shared" si="504"/>
        <v>-3.5000000000000003E-2</v>
      </c>
      <c r="L303" s="102">
        <f t="shared" ref="L303:N303" si="523">ROUND(0.326*L267+0.674*L339,4)</f>
        <v>0.11559999999999999</v>
      </c>
      <c r="M303" s="102">
        <f t="shared" si="523"/>
        <v>2.6100000000000002E-2</v>
      </c>
      <c r="N303" s="102">
        <f t="shared" si="523"/>
        <v>2.76E-2</v>
      </c>
      <c r="O303" s="21">
        <f t="shared" ref="O303:P303" si="524">ROUND(0.326*O267+0.674*O339,0)</f>
        <v>180</v>
      </c>
      <c r="P303" s="21">
        <f t="shared" si="524"/>
        <v>60</v>
      </c>
      <c r="Q303" s="101">
        <f t="shared" ref="Q303" si="525">ROUND(0.326*Q267+0.674*Q339,4)</f>
        <v>1E-3</v>
      </c>
      <c r="R303" s="21">
        <f t="shared" ref="R303:S303" si="526">ROUND(0.326*R267+0.674*R339,0)</f>
        <v>3</v>
      </c>
      <c r="S303" s="21">
        <f t="shared" si="526"/>
        <v>1500</v>
      </c>
      <c r="T303" s="101">
        <f t="shared" si="510"/>
        <v>0.1</v>
      </c>
      <c r="U303" s="123" t="s">
        <v>282</v>
      </c>
      <c r="V303" s="21"/>
      <c r="W303" s="58">
        <f t="shared" si="483"/>
        <v>35161</v>
      </c>
      <c r="X303" s="102">
        <f t="shared" si="501"/>
        <v>58.64</v>
      </c>
      <c r="Y303" s="102">
        <f t="shared" si="502"/>
        <v>17.12</v>
      </c>
      <c r="Z303" s="21">
        <f t="shared" si="486"/>
        <v>8195</v>
      </c>
      <c r="AA303" s="44">
        <f t="shared" si="487"/>
        <v>0</v>
      </c>
      <c r="AB303" s="21">
        <f t="shared" si="488"/>
        <v>6</v>
      </c>
      <c r="AC303" s="121">
        <f>ROUND(I303+mwreg!$G$33/100,3)</f>
        <v>-0.31900000000000001</v>
      </c>
      <c r="AD303" s="101">
        <f>ROUND(J303+mwreg!$G$33/100,3)</f>
        <v>0.499</v>
      </c>
      <c r="AE303" s="101">
        <f>ROUND(K303+mwreg!$G$33/100,3)</f>
        <v>5.8000000000000003E-2</v>
      </c>
      <c r="AF303" s="102">
        <f t="shared" si="476"/>
        <v>0.11559999999999999</v>
      </c>
      <c r="AG303" s="102">
        <f t="shared" si="477"/>
        <v>2.6100000000000002E-2</v>
      </c>
      <c r="AH303" s="102">
        <f t="shared" si="491"/>
        <v>2.76E-2</v>
      </c>
      <c r="AI303" s="21">
        <f t="shared" si="492"/>
        <v>180</v>
      </c>
      <c r="AJ303" s="21">
        <f t="shared" si="493"/>
        <v>60</v>
      </c>
      <c r="AK303" s="101">
        <f t="shared" si="494"/>
        <v>1E-3</v>
      </c>
      <c r="AL303" s="21">
        <f t="shared" si="495"/>
        <v>3</v>
      </c>
      <c r="AM303" s="21">
        <f t="shared" si="496"/>
        <v>1500</v>
      </c>
      <c r="AN303" s="101">
        <f t="shared" si="497"/>
        <v>0.1</v>
      </c>
      <c r="AO303" s="185" t="str">
        <f t="shared" si="503"/>
        <v>NaN</v>
      </c>
    </row>
    <row r="304" spans="1:41" x14ac:dyDescent="0.2">
      <c r="A304" s="194" t="s">
        <v>296</v>
      </c>
      <c r="B304" s="194" t="s">
        <v>296</v>
      </c>
      <c r="C304" s="52">
        <v>35161</v>
      </c>
      <c r="D304" s="105">
        <v>58.64</v>
      </c>
      <c r="E304" s="105">
        <v>17.12</v>
      </c>
      <c r="F304" s="20">
        <v>8195</v>
      </c>
      <c r="G304" s="18">
        <v>0</v>
      </c>
      <c r="H304" s="53">
        <v>7</v>
      </c>
      <c r="I304" s="121">
        <f t="shared" si="504"/>
        <v>-0.28299999999999997</v>
      </c>
      <c r="J304" s="101">
        <f t="shared" si="504"/>
        <v>0.48399999999999999</v>
      </c>
      <c r="K304" s="101">
        <f t="shared" si="504"/>
        <v>5.7000000000000002E-2</v>
      </c>
      <c r="L304" s="102">
        <f t="shared" ref="L304:N304" si="527">ROUND(0.326*L268+0.674*L340,4)</f>
        <v>0.1075</v>
      </c>
      <c r="M304" s="102">
        <f t="shared" si="527"/>
        <v>2.12E-2</v>
      </c>
      <c r="N304" s="102">
        <f t="shared" si="527"/>
        <v>2.2499999999999999E-2</v>
      </c>
      <c r="O304" s="21">
        <f t="shared" ref="O304:P304" si="528">ROUND(0.326*O268+0.674*O340,0)</f>
        <v>180</v>
      </c>
      <c r="P304" s="21">
        <f t="shared" si="528"/>
        <v>60</v>
      </c>
      <c r="Q304" s="101">
        <f t="shared" ref="Q304" si="529">ROUND(0.326*Q268+0.674*Q340,4)</f>
        <v>1E-3</v>
      </c>
      <c r="R304" s="21">
        <f t="shared" ref="R304:S304" si="530">ROUND(0.326*R268+0.674*R340,0)</f>
        <v>3</v>
      </c>
      <c r="S304" s="21">
        <f t="shared" si="530"/>
        <v>1500</v>
      </c>
      <c r="T304" s="101">
        <f t="shared" si="510"/>
        <v>0.1</v>
      </c>
      <c r="U304" s="123" t="s">
        <v>282</v>
      </c>
      <c r="V304" s="21"/>
      <c r="W304" s="58">
        <f t="shared" si="483"/>
        <v>35161</v>
      </c>
      <c r="X304" s="102">
        <f t="shared" si="501"/>
        <v>58.64</v>
      </c>
      <c r="Y304" s="102">
        <f t="shared" si="502"/>
        <v>17.12</v>
      </c>
      <c r="Z304" s="21">
        <f t="shared" si="486"/>
        <v>8195</v>
      </c>
      <c r="AA304" s="44">
        <f t="shared" si="487"/>
        <v>0</v>
      </c>
      <c r="AB304" s="21">
        <f t="shared" si="488"/>
        <v>7</v>
      </c>
      <c r="AC304" s="121">
        <f>ROUND(I304+mwreg!$G$33/100,3)</f>
        <v>-0.19</v>
      </c>
      <c r="AD304" s="101">
        <f>ROUND(J304+mwreg!$G$33/100,3)</f>
        <v>0.57699999999999996</v>
      </c>
      <c r="AE304" s="101">
        <f>ROUND(K304+mwreg!$G$33/100,3)</f>
        <v>0.15</v>
      </c>
      <c r="AF304" s="102">
        <f t="shared" si="476"/>
        <v>0.1075</v>
      </c>
      <c r="AG304" s="102">
        <f t="shared" si="477"/>
        <v>2.12E-2</v>
      </c>
      <c r="AH304" s="102">
        <f t="shared" si="491"/>
        <v>2.2499999999999999E-2</v>
      </c>
      <c r="AI304" s="21">
        <f t="shared" si="492"/>
        <v>180</v>
      </c>
      <c r="AJ304" s="21">
        <f t="shared" si="493"/>
        <v>60</v>
      </c>
      <c r="AK304" s="101">
        <f t="shared" si="494"/>
        <v>1E-3</v>
      </c>
      <c r="AL304" s="21">
        <f t="shared" si="495"/>
        <v>3</v>
      </c>
      <c r="AM304" s="21">
        <f t="shared" si="496"/>
        <v>1500</v>
      </c>
      <c r="AN304" s="101">
        <f t="shared" si="497"/>
        <v>0.1</v>
      </c>
      <c r="AO304" s="185" t="str">
        <f t="shared" si="503"/>
        <v>NaN</v>
      </c>
    </row>
    <row r="305" spans="1:41" x14ac:dyDescent="0.2">
      <c r="A305" s="194" t="s">
        <v>296</v>
      </c>
      <c r="B305" s="194" t="s">
        <v>296</v>
      </c>
      <c r="C305" s="52">
        <v>35161</v>
      </c>
      <c r="D305" s="105">
        <v>58.64</v>
      </c>
      <c r="E305" s="105">
        <v>17.12</v>
      </c>
      <c r="F305" s="20">
        <v>8195</v>
      </c>
      <c r="G305" s="18">
        <v>0</v>
      </c>
      <c r="H305" s="53">
        <v>8</v>
      </c>
      <c r="I305" s="121">
        <f t="shared" si="504"/>
        <v>-0.36899999999999999</v>
      </c>
      <c r="J305" s="101">
        <f t="shared" si="504"/>
        <v>0.44400000000000001</v>
      </c>
      <c r="K305" s="101">
        <f t="shared" si="504"/>
        <v>2.1999999999999999E-2</v>
      </c>
      <c r="L305" s="102">
        <f t="shared" ref="L305:N305" si="531">ROUND(0.326*L269+0.674*L341,4)</f>
        <v>0.1082</v>
      </c>
      <c r="M305" s="102">
        <f t="shared" si="531"/>
        <v>2.75E-2</v>
      </c>
      <c r="N305" s="102">
        <f t="shared" si="531"/>
        <v>2.9000000000000001E-2</v>
      </c>
      <c r="O305" s="21">
        <f t="shared" ref="O305:P305" si="532">ROUND(0.326*O269+0.674*O341,0)</f>
        <v>180</v>
      </c>
      <c r="P305" s="21">
        <f t="shared" si="532"/>
        <v>60</v>
      </c>
      <c r="Q305" s="101">
        <f t="shared" ref="Q305" si="533">ROUND(0.326*Q269+0.674*Q341,4)</f>
        <v>1E-3</v>
      </c>
      <c r="R305" s="21">
        <f t="shared" ref="R305:S305" si="534">ROUND(0.326*R269+0.674*R341,0)</f>
        <v>3</v>
      </c>
      <c r="S305" s="21">
        <f t="shared" si="534"/>
        <v>1500</v>
      </c>
      <c r="T305" s="101">
        <f t="shared" si="510"/>
        <v>0.1</v>
      </c>
      <c r="U305" s="123" t="s">
        <v>282</v>
      </c>
      <c r="V305" s="21"/>
      <c r="W305" s="58">
        <f t="shared" si="483"/>
        <v>35161</v>
      </c>
      <c r="X305" s="102">
        <f t="shared" si="501"/>
        <v>58.64</v>
      </c>
      <c r="Y305" s="102">
        <f t="shared" si="502"/>
        <v>17.12</v>
      </c>
      <c r="Z305" s="21">
        <f t="shared" si="486"/>
        <v>8195</v>
      </c>
      <c r="AA305" s="44">
        <f t="shared" si="487"/>
        <v>0</v>
      </c>
      <c r="AB305" s="21">
        <f t="shared" si="488"/>
        <v>8</v>
      </c>
      <c r="AC305" s="121">
        <f>ROUND(I305+mwreg!$G$33/100,3)</f>
        <v>-0.27600000000000002</v>
      </c>
      <c r="AD305" s="101">
        <f>ROUND(J305+mwreg!$G$33/100,3)</f>
        <v>0.53700000000000003</v>
      </c>
      <c r="AE305" s="101">
        <f>ROUND(K305+mwreg!$G$33/100,3)</f>
        <v>0.115</v>
      </c>
      <c r="AF305" s="102">
        <f t="shared" si="476"/>
        <v>0.1082</v>
      </c>
      <c r="AG305" s="102">
        <f t="shared" si="477"/>
        <v>2.75E-2</v>
      </c>
      <c r="AH305" s="102">
        <f t="shared" si="491"/>
        <v>2.9000000000000001E-2</v>
      </c>
      <c r="AI305" s="21">
        <f t="shared" si="492"/>
        <v>180</v>
      </c>
      <c r="AJ305" s="21">
        <f t="shared" si="493"/>
        <v>60</v>
      </c>
      <c r="AK305" s="101">
        <f t="shared" si="494"/>
        <v>1E-3</v>
      </c>
      <c r="AL305" s="21">
        <f t="shared" si="495"/>
        <v>3</v>
      </c>
      <c r="AM305" s="21">
        <f t="shared" si="496"/>
        <v>1500</v>
      </c>
      <c r="AN305" s="101">
        <f t="shared" si="497"/>
        <v>0.1</v>
      </c>
      <c r="AO305" s="185" t="str">
        <f t="shared" si="503"/>
        <v>NaN</v>
      </c>
    </row>
    <row r="306" spans="1:41" x14ac:dyDescent="0.2">
      <c r="A306" s="194" t="s">
        <v>296</v>
      </c>
      <c r="B306" s="194" t="s">
        <v>296</v>
      </c>
      <c r="C306" s="52">
        <v>35161</v>
      </c>
      <c r="D306" s="105">
        <v>58.64</v>
      </c>
      <c r="E306" s="105">
        <v>17.12</v>
      </c>
      <c r="F306" s="20">
        <v>8195</v>
      </c>
      <c r="G306" s="18">
        <v>0</v>
      </c>
      <c r="H306" s="53">
        <v>9</v>
      </c>
      <c r="I306" s="121">
        <f t="shared" si="504"/>
        <v>-0.48399999999999999</v>
      </c>
      <c r="J306" s="101">
        <f t="shared" si="504"/>
        <v>0.55500000000000005</v>
      </c>
      <c r="K306" s="101">
        <f t="shared" si="504"/>
        <v>4.7E-2</v>
      </c>
      <c r="L306" s="102">
        <f t="shared" ref="L306:N306" si="535">ROUND(0.326*L270+0.674*L342,4)</f>
        <v>0.1232</v>
      </c>
      <c r="M306" s="102">
        <f t="shared" si="535"/>
        <v>2.3E-2</v>
      </c>
      <c r="N306" s="102">
        <f t="shared" si="535"/>
        <v>2.47E-2</v>
      </c>
      <c r="O306" s="21">
        <f t="shared" ref="O306:P306" si="536">ROUND(0.326*O270+0.674*O342,0)</f>
        <v>180</v>
      </c>
      <c r="P306" s="21">
        <f t="shared" si="536"/>
        <v>60</v>
      </c>
      <c r="Q306" s="101">
        <f t="shared" ref="Q306" si="537">ROUND(0.326*Q270+0.674*Q342,4)</f>
        <v>1E-3</v>
      </c>
      <c r="R306" s="21">
        <f t="shared" ref="R306:S306" si="538">ROUND(0.326*R270+0.674*R342,0)</f>
        <v>3</v>
      </c>
      <c r="S306" s="21">
        <f t="shared" si="538"/>
        <v>1500</v>
      </c>
      <c r="T306" s="101">
        <f t="shared" si="510"/>
        <v>0.1</v>
      </c>
      <c r="U306" s="123" t="s">
        <v>282</v>
      </c>
      <c r="V306" s="21"/>
      <c r="W306" s="58">
        <f t="shared" ref="W306:W321" si="539">C306</f>
        <v>35161</v>
      </c>
      <c r="X306" s="102">
        <f t="shared" si="501"/>
        <v>58.64</v>
      </c>
      <c r="Y306" s="102">
        <f t="shared" si="502"/>
        <v>17.12</v>
      </c>
      <c r="Z306" s="21">
        <f t="shared" ref="Z306:Z321" si="540">F306</f>
        <v>8195</v>
      </c>
      <c r="AA306" s="44">
        <f t="shared" ref="AA306:AA321" si="541">G306</f>
        <v>0</v>
      </c>
      <c r="AB306" s="21">
        <f t="shared" ref="AB306:AB321" si="542">H306</f>
        <v>9</v>
      </c>
      <c r="AC306" s="121">
        <f>ROUND(I306+mwreg!$G$33/100,3)</f>
        <v>-0.39100000000000001</v>
      </c>
      <c r="AD306" s="101">
        <f>ROUND(J306+mwreg!$G$33/100,3)</f>
        <v>0.64800000000000002</v>
      </c>
      <c r="AE306" s="101">
        <f>ROUND(K306+mwreg!$G$33/100,3)</f>
        <v>0.14000000000000001</v>
      </c>
      <c r="AF306" s="102">
        <f t="shared" si="476"/>
        <v>0.1232</v>
      </c>
      <c r="AG306" s="102">
        <f t="shared" si="477"/>
        <v>2.3E-2</v>
      </c>
      <c r="AH306" s="102">
        <f t="shared" si="491"/>
        <v>2.47E-2</v>
      </c>
      <c r="AI306" s="21">
        <f t="shared" si="492"/>
        <v>180</v>
      </c>
      <c r="AJ306" s="21">
        <f t="shared" si="493"/>
        <v>60</v>
      </c>
      <c r="AK306" s="101">
        <f t="shared" si="494"/>
        <v>1E-3</v>
      </c>
      <c r="AL306" s="21">
        <f t="shared" si="495"/>
        <v>3</v>
      </c>
      <c r="AM306" s="21">
        <f t="shared" si="496"/>
        <v>1500</v>
      </c>
      <c r="AN306" s="101">
        <f t="shared" si="497"/>
        <v>0.1</v>
      </c>
      <c r="AO306" s="185" t="str">
        <f t="shared" si="503"/>
        <v>NaN</v>
      </c>
    </row>
    <row r="307" spans="1:41" x14ac:dyDescent="0.2">
      <c r="A307" s="194" t="s">
        <v>296</v>
      </c>
      <c r="B307" s="194" t="s">
        <v>296</v>
      </c>
      <c r="C307" s="52">
        <v>35161</v>
      </c>
      <c r="D307" s="105">
        <v>58.64</v>
      </c>
      <c r="E307" s="105">
        <v>17.12</v>
      </c>
      <c r="F307" s="20">
        <v>8195</v>
      </c>
      <c r="G307" s="18">
        <v>0</v>
      </c>
      <c r="H307" s="53">
        <v>10</v>
      </c>
      <c r="I307" s="121">
        <f t="shared" si="504"/>
        <v>-0.53400000000000003</v>
      </c>
      <c r="J307" s="101">
        <f t="shared" si="504"/>
        <v>0.754</v>
      </c>
      <c r="K307" s="101">
        <f t="shared" si="504"/>
        <v>5.0000000000000001E-3</v>
      </c>
      <c r="L307" s="102">
        <f t="shared" ref="L307:N307" si="543">ROUND(0.326*L271+0.674*L343,4)</f>
        <v>0.16669999999999999</v>
      </c>
      <c r="M307" s="102">
        <f t="shared" si="543"/>
        <v>3.0700000000000002E-2</v>
      </c>
      <c r="N307" s="102">
        <f t="shared" si="543"/>
        <v>3.2599999999999997E-2</v>
      </c>
      <c r="O307" s="21">
        <f t="shared" ref="O307:P307" si="544">ROUND(0.326*O271+0.674*O343,0)</f>
        <v>180</v>
      </c>
      <c r="P307" s="21">
        <f t="shared" si="544"/>
        <v>60</v>
      </c>
      <c r="Q307" s="101">
        <f t="shared" ref="Q307" si="545">ROUND(0.326*Q271+0.674*Q343,4)</f>
        <v>1E-3</v>
      </c>
      <c r="R307" s="21">
        <f t="shared" ref="R307:S307" si="546">ROUND(0.326*R271+0.674*R343,0)</f>
        <v>3</v>
      </c>
      <c r="S307" s="21">
        <f t="shared" si="546"/>
        <v>1500</v>
      </c>
      <c r="T307" s="101">
        <f t="shared" si="510"/>
        <v>0.1</v>
      </c>
      <c r="U307" s="123" t="s">
        <v>282</v>
      </c>
      <c r="V307" s="21"/>
      <c r="W307" s="58">
        <f t="shared" si="539"/>
        <v>35161</v>
      </c>
      <c r="X307" s="102">
        <f t="shared" si="501"/>
        <v>58.64</v>
      </c>
      <c r="Y307" s="102">
        <f t="shared" si="502"/>
        <v>17.12</v>
      </c>
      <c r="Z307" s="21">
        <f t="shared" si="540"/>
        <v>8195</v>
      </c>
      <c r="AA307" s="44">
        <f t="shared" si="541"/>
        <v>0</v>
      </c>
      <c r="AB307" s="21">
        <f t="shared" si="542"/>
        <v>10</v>
      </c>
      <c r="AC307" s="121">
        <f>ROUND(I307+mwreg!$G$33/100,3)</f>
        <v>-0.441</v>
      </c>
      <c r="AD307" s="101">
        <f>ROUND(J307+mwreg!$G$33/100,3)</f>
        <v>0.84699999999999998</v>
      </c>
      <c r="AE307" s="101">
        <f>ROUND(K307+mwreg!$G$33/100,3)</f>
        <v>9.8000000000000004E-2</v>
      </c>
      <c r="AF307" s="102">
        <f t="shared" si="476"/>
        <v>0.16669999999999999</v>
      </c>
      <c r="AG307" s="102">
        <f t="shared" si="477"/>
        <v>3.0700000000000002E-2</v>
      </c>
      <c r="AH307" s="102">
        <f t="shared" si="491"/>
        <v>3.2599999999999997E-2</v>
      </c>
      <c r="AI307" s="21">
        <f t="shared" si="492"/>
        <v>180</v>
      </c>
      <c r="AJ307" s="21">
        <f t="shared" si="493"/>
        <v>60</v>
      </c>
      <c r="AK307" s="101">
        <f t="shared" si="494"/>
        <v>1E-3</v>
      </c>
      <c r="AL307" s="21">
        <f t="shared" si="495"/>
        <v>3</v>
      </c>
      <c r="AM307" s="21">
        <f t="shared" si="496"/>
        <v>1500</v>
      </c>
      <c r="AN307" s="101">
        <f t="shared" si="497"/>
        <v>0.1</v>
      </c>
      <c r="AO307" s="185" t="str">
        <f t="shared" si="503"/>
        <v>NaN</v>
      </c>
    </row>
    <row r="308" spans="1:41" x14ac:dyDescent="0.2">
      <c r="A308" s="194" t="s">
        <v>296</v>
      </c>
      <c r="B308" s="194" t="s">
        <v>296</v>
      </c>
      <c r="C308" s="52">
        <v>35161</v>
      </c>
      <c r="D308" s="105">
        <v>58.64</v>
      </c>
      <c r="E308" s="105">
        <v>17.12</v>
      </c>
      <c r="F308" s="20">
        <v>8195</v>
      </c>
      <c r="G308" s="18">
        <v>0</v>
      </c>
      <c r="H308" s="53">
        <v>11</v>
      </c>
      <c r="I308" s="121">
        <f t="shared" si="504"/>
        <v>-0.56699999999999995</v>
      </c>
      <c r="J308" s="101">
        <f t="shared" si="504"/>
        <v>0.72799999999999998</v>
      </c>
      <c r="K308" s="101">
        <f t="shared" si="504"/>
        <v>3.2000000000000001E-2</v>
      </c>
      <c r="L308" s="102">
        <f t="shared" ref="L308:N308" si="547">ROUND(0.326*L272+0.674*L344,4)</f>
        <v>0.18920000000000001</v>
      </c>
      <c r="M308" s="102">
        <f t="shared" si="547"/>
        <v>3.5999999999999997E-2</v>
      </c>
      <c r="N308" s="102">
        <f t="shared" si="547"/>
        <v>3.8800000000000001E-2</v>
      </c>
      <c r="O308" s="21">
        <f t="shared" ref="O308:P308" si="548">ROUND(0.326*O272+0.674*O344,0)</f>
        <v>180</v>
      </c>
      <c r="P308" s="21">
        <f t="shared" si="548"/>
        <v>60</v>
      </c>
      <c r="Q308" s="101">
        <f t="shared" ref="Q308" si="549">ROUND(0.326*Q272+0.674*Q344,4)</f>
        <v>1E-3</v>
      </c>
      <c r="R308" s="21">
        <f t="shared" ref="R308:S308" si="550">ROUND(0.326*R272+0.674*R344,0)</f>
        <v>3</v>
      </c>
      <c r="S308" s="21">
        <f t="shared" si="550"/>
        <v>1500</v>
      </c>
      <c r="T308" s="101">
        <f t="shared" si="510"/>
        <v>0.1</v>
      </c>
      <c r="U308" s="123" t="s">
        <v>282</v>
      </c>
      <c r="V308" s="21"/>
      <c r="W308" s="58">
        <f t="shared" si="539"/>
        <v>35161</v>
      </c>
      <c r="X308" s="102">
        <f t="shared" si="501"/>
        <v>58.64</v>
      </c>
      <c r="Y308" s="102">
        <f t="shared" si="502"/>
        <v>17.12</v>
      </c>
      <c r="Z308" s="21">
        <f t="shared" si="540"/>
        <v>8195</v>
      </c>
      <c r="AA308" s="44">
        <f t="shared" si="541"/>
        <v>0</v>
      </c>
      <c r="AB308" s="21">
        <f t="shared" si="542"/>
        <v>11</v>
      </c>
      <c r="AC308" s="121">
        <f>ROUND(I308+mwreg!$G$33/100,3)</f>
        <v>-0.47399999999999998</v>
      </c>
      <c r="AD308" s="101">
        <f>ROUND(J308+mwreg!$G$33/100,3)</f>
        <v>0.82099999999999995</v>
      </c>
      <c r="AE308" s="101">
        <f>ROUND(K308+mwreg!$G$33/100,3)</f>
        <v>0.125</v>
      </c>
      <c r="AF308" s="102">
        <f t="shared" si="476"/>
        <v>0.18920000000000001</v>
      </c>
      <c r="AG308" s="102">
        <f t="shared" si="477"/>
        <v>3.5999999999999997E-2</v>
      </c>
      <c r="AH308" s="102">
        <f t="shared" si="491"/>
        <v>3.8800000000000001E-2</v>
      </c>
      <c r="AI308" s="21">
        <f t="shared" si="492"/>
        <v>180</v>
      </c>
      <c r="AJ308" s="21">
        <f t="shared" si="493"/>
        <v>60</v>
      </c>
      <c r="AK308" s="101">
        <f t="shared" si="494"/>
        <v>1E-3</v>
      </c>
      <c r="AL308" s="21">
        <f t="shared" si="495"/>
        <v>3</v>
      </c>
      <c r="AM308" s="21">
        <f t="shared" si="496"/>
        <v>1500</v>
      </c>
      <c r="AN308" s="101">
        <f t="shared" si="497"/>
        <v>0.1</v>
      </c>
      <c r="AO308" s="185" t="str">
        <f t="shared" si="503"/>
        <v>NaN</v>
      </c>
    </row>
    <row r="309" spans="1:41" x14ac:dyDescent="0.2">
      <c r="A309" s="194" t="s">
        <v>296</v>
      </c>
      <c r="B309" s="194" t="s">
        <v>296</v>
      </c>
      <c r="C309" s="52">
        <v>35161</v>
      </c>
      <c r="D309" s="105">
        <v>58.64</v>
      </c>
      <c r="E309" s="105">
        <v>17.12</v>
      </c>
      <c r="F309" s="20">
        <v>8195</v>
      </c>
      <c r="G309" s="18">
        <v>0</v>
      </c>
      <c r="H309" s="53">
        <v>12</v>
      </c>
      <c r="I309" s="121">
        <f t="shared" si="504"/>
        <v>-0.60099999999999998</v>
      </c>
      <c r="J309" s="101">
        <f t="shared" si="504"/>
        <v>0.74399999999999999</v>
      </c>
      <c r="K309" s="101">
        <f t="shared" si="504"/>
        <v>0.13400000000000001</v>
      </c>
      <c r="L309" s="102">
        <f t="shared" ref="L309:N309" si="551">ROUND(0.326*L273+0.674*L345,4)</f>
        <v>0.21920000000000001</v>
      </c>
      <c r="M309" s="102">
        <f t="shared" si="551"/>
        <v>3.4799999999999998E-2</v>
      </c>
      <c r="N309" s="102">
        <f t="shared" si="551"/>
        <v>3.7600000000000001E-2</v>
      </c>
      <c r="O309" s="21">
        <f t="shared" ref="O309:P309" si="552">ROUND(0.326*O273+0.674*O345,0)</f>
        <v>180</v>
      </c>
      <c r="P309" s="21">
        <f t="shared" si="552"/>
        <v>60</v>
      </c>
      <c r="Q309" s="101">
        <f t="shared" ref="Q309" si="553">ROUND(0.326*Q273+0.674*Q345,4)</f>
        <v>1E-3</v>
      </c>
      <c r="R309" s="21">
        <f t="shared" ref="R309:S309" si="554">ROUND(0.326*R273+0.674*R345,0)</f>
        <v>3</v>
      </c>
      <c r="S309" s="21">
        <f t="shared" si="554"/>
        <v>1500</v>
      </c>
      <c r="T309" s="101">
        <f t="shared" si="510"/>
        <v>0.1</v>
      </c>
      <c r="U309" s="123" t="s">
        <v>282</v>
      </c>
      <c r="V309" s="21"/>
      <c r="W309" s="58">
        <f t="shared" si="539"/>
        <v>35161</v>
      </c>
      <c r="X309" s="102">
        <f t="shared" si="501"/>
        <v>58.64</v>
      </c>
      <c r="Y309" s="102">
        <f t="shared" si="502"/>
        <v>17.12</v>
      </c>
      <c r="Z309" s="21">
        <f t="shared" si="540"/>
        <v>8195</v>
      </c>
      <c r="AA309" s="44">
        <f t="shared" si="541"/>
        <v>0</v>
      </c>
      <c r="AB309" s="21">
        <f t="shared" si="542"/>
        <v>12</v>
      </c>
      <c r="AC309" s="121">
        <f>ROUND(I309+mwreg!$G$33/100,3)</f>
        <v>-0.50800000000000001</v>
      </c>
      <c r="AD309" s="101">
        <f>ROUND(J309+mwreg!$G$33/100,3)</f>
        <v>0.83699999999999997</v>
      </c>
      <c r="AE309" s="101">
        <f>ROUND(K309+mwreg!$G$33/100,3)</f>
        <v>0.22700000000000001</v>
      </c>
      <c r="AF309" s="102">
        <f t="shared" si="476"/>
        <v>0.21920000000000001</v>
      </c>
      <c r="AG309" s="102">
        <f t="shared" si="477"/>
        <v>3.4799999999999998E-2</v>
      </c>
      <c r="AH309" s="102">
        <f t="shared" si="491"/>
        <v>3.7600000000000001E-2</v>
      </c>
      <c r="AI309" s="21">
        <f t="shared" si="492"/>
        <v>180</v>
      </c>
      <c r="AJ309" s="21">
        <f t="shared" si="493"/>
        <v>60</v>
      </c>
      <c r="AK309" s="101">
        <f t="shared" si="494"/>
        <v>1E-3</v>
      </c>
      <c r="AL309" s="21">
        <f t="shared" si="495"/>
        <v>3</v>
      </c>
      <c r="AM309" s="21">
        <f t="shared" si="496"/>
        <v>1500</v>
      </c>
      <c r="AN309" s="101">
        <f t="shared" si="497"/>
        <v>0.1</v>
      </c>
      <c r="AO309" s="185" t="str">
        <f t="shared" si="503"/>
        <v>NaN</v>
      </c>
    </row>
    <row r="310" spans="1:41" x14ac:dyDescent="0.2">
      <c r="A310" s="194" t="str">
        <f>stat_uppg!A34</f>
        <v>58/35101</v>
      </c>
      <c r="B310" s="194" t="str">
        <f>stat_uppg!B34</f>
        <v>JUTEN (SJÖV)</v>
      </c>
      <c r="C310" s="52">
        <v>35101</v>
      </c>
      <c r="D310" s="105">
        <v>58.6342</v>
      </c>
      <c r="E310" s="105">
        <v>16.3248</v>
      </c>
      <c r="F310" s="20">
        <v>8195</v>
      </c>
      <c r="G310" s="18">
        <v>0</v>
      </c>
      <c r="H310" s="53">
        <v>1</v>
      </c>
      <c r="I310" s="167">
        <f>ROUND(I334,3)</f>
        <v>-0.64200000000000002</v>
      </c>
      <c r="J310" s="104">
        <f>ROUND(J334,3)</f>
        <v>0.94499999999999995</v>
      </c>
      <c r="K310" s="104">
        <f>ROUND(K334,3)</f>
        <v>0.14299999999999999</v>
      </c>
      <c r="L310" s="105">
        <f>ROUND(L334,4)</f>
        <v>0.21640000000000001</v>
      </c>
      <c r="M310" s="105">
        <f>ROUND(M334,4)</f>
        <v>1.2E-2</v>
      </c>
      <c r="N310" s="105">
        <f>ROUND(N334,4)</f>
        <v>1.2999999999999999E-2</v>
      </c>
      <c r="O310" s="20">
        <f>ROUND(O334,0)</f>
        <v>180</v>
      </c>
      <c r="P310" s="20">
        <f>ROUND(P334,0)</f>
        <v>60</v>
      </c>
      <c r="Q310" s="104">
        <f>ROUND(Q334,3)</f>
        <v>1E-3</v>
      </c>
      <c r="R310" s="20">
        <f>ROUND(R334,0)</f>
        <v>3</v>
      </c>
      <c r="S310" s="20">
        <f>ROUND(S334,0)</f>
        <v>1500</v>
      </c>
      <c r="T310" s="104">
        <f>ROUND(T334,3)</f>
        <v>0.1</v>
      </c>
      <c r="U310" s="123" t="s">
        <v>282</v>
      </c>
      <c r="V310" s="21"/>
      <c r="W310" s="58">
        <f t="shared" si="539"/>
        <v>35101</v>
      </c>
      <c r="X310" s="102">
        <f t="shared" si="501"/>
        <v>58.6342</v>
      </c>
      <c r="Y310" s="102">
        <f t="shared" si="502"/>
        <v>16.3248</v>
      </c>
      <c r="Z310" s="21">
        <f t="shared" si="540"/>
        <v>8195</v>
      </c>
      <c r="AA310" s="44">
        <f t="shared" si="541"/>
        <v>0</v>
      </c>
      <c r="AB310" s="21">
        <f t="shared" si="542"/>
        <v>1</v>
      </c>
      <c r="AC310" s="121">
        <f>ROUND(I310+mwreg!$G$34/100,3)</f>
        <v>-0.54400000000000004</v>
      </c>
      <c r="AD310" s="101">
        <f>ROUND(J310+mwreg!$G$34/100,3)</f>
        <v>1.0429999999999999</v>
      </c>
      <c r="AE310" s="101">
        <f>ROUND(K310+mwreg!$G$34/100,3)</f>
        <v>0.24099999999999999</v>
      </c>
      <c r="AF310" s="102">
        <f t="shared" si="476"/>
        <v>0.21640000000000001</v>
      </c>
      <c r="AG310" s="102">
        <f t="shared" si="477"/>
        <v>1.2E-2</v>
      </c>
      <c r="AH310" s="102">
        <f t="shared" si="491"/>
        <v>1.2999999999999999E-2</v>
      </c>
      <c r="AI310" s="21">
        <f t="shared" si="492"/>
        <v>180</v>
      </c>
      <c r="AJ310" s="21">
        <f t="shared" si="493"/>
        <v>60</v>
      </c>
      <c r="AK310" s="101">
        <f t="shared" si="494"/>
        <v>1E-3</v>
      </c>
      <c r="AL310" s="21">
        <f t="shared" si="495"/>
        <v>3</v>
      </c>
      <c r="AM310" s="21">
        <f t="shared" si="496"/>
        <v>1500</v>
      </c>
      <c r="AN310" s="101">
        <f t="shared" si="497"/>
        <v>0.1</v>
      </c>
      <c r="AO310" s="185" t="str">
        <f t="shared" si="503"/>
        <v>NaN</v>
      </c>
    </row>
    <row r="311" spans="1:41" x14ac:dyDescent="0.2">
      <c r="A311" s="194" t="s">
        <v>296</v>
      </c>
      <c r="B311" s="194" t="s">
        <v>296</v>
      </c>
      <c r="C311" s="52">
        <v>35101</v>
      </c>
      <c r="D311" s="105">
        <v>58.6342</v>
      </c>
      <c r="E311" s="105">
        <v>16.3248</v>
      </c>
      <c r="F311" s="20">
        <v>8195</v>
      </c>
      <c r="G311" s="18">
        <v>0</v>
      </c>
      <c r="H311" s="53">
        <v>2</v>
      </c>
      <c r="I311" s="167">
        <f t="shared" ref="I311:K321" si="555">ROUND(I335,3)</f>
        <v>-0.65200000000000002</v>
      </c>
      <c r="J311" s="104">
        <f t="shared" si="555"/>
        <v>0.94399999999999995</v>
      </c>
      <c r="K311" s="104">
        <f t="shared" si="555"/>
        <v>5.6000000000000001E-2</v>
      </c>
      <c r="L311" s="105">
        <f t="shared" ref="L311:M321" si="556">ROUND(L335,4)</f>
        <v>0.23469999999999999</v>
      </c>
      <c r="M311" s="105">
        <f t="shared" si="556"/>
        <v>1.2999999999999999E-2</v>
      </c>
      <c r="N311" s="105">
        <f t="shared" ref="N311" si="557">ROUND(N335,4)</f>
        <v>1.4E-2</v>
      </c>
      <c r="O311" s="20">
        <f t="shared" ref="O311:P321" si="558">ROUND(O335,0)</f>
        <v>180</v>
      </c>
      <c r="P311" s="20">
        <f t="shared" si="558"/>
        <v>60</v>
      </c>
      <c r="Q311" s="104">
        <f t="shared" ref="Q311:Q321" si="559">ROUND(Q335,3)</f>
        <v>1E-3</v>
      </c>
      <c r="R311" s="20">
        <f t="shared" ref="R311:S321" si="560">ROUND(R335,0)</f>
        <v>3</v>
      </c>
      <c r="S311" s="20">
        <f t="shared" si="560"/>
        <v>1500</v>
      </c>
      <c r="T311" s="104">
        <f t="shared" ref="T311:T321" si="561">ROUND(T335,3)</f>
        <v>0.1</v>
      </c>
      <c r="U311" s="123" t="s">
        <v>282</v>
      </c>
      <c r="V311" s="21"/>
      <c r="W311" s="58">
        <f t="shared" si="539"/>
        <v>35101</v>
      </c>
      <c r="X311" s="102">
        <f t="shared" si="501"/>
        <v>58.6342</v>
      </c>
      <c r="Y311" s="102">
        <f t="shared" si="502"/>
        <v>16.3248</v>
      </c>
      <c r="Z311" s="21">
        <f t="shared" si="540"/>
        <v>8195</v>
      </c>
      <c r="AA311" s="44">
        <f t="shared" si="541"/>
        <v>0</v>
      </c>
      <c r="AB311" s="21">
        <f t="shared" si="542"/>
        <v>2</v>
      </c>
      <c r="AC311" s="121">
        <f>ROUND(I311+mwreg!$G$34/100,3)</f>
        <v>-0.55400000000000005</v>
      </c>
      <c r="AD311" s="101">
        <f>ROUND(J311+mwreg!$G$34/100,3)</f>
        <v>1.042</v>
      </c>
      <c r="AE311" s="101">
        <f>ROUND(K311+mwreg!$G$34/100,3)</f>
        <v>0.154</v>
      </c>
      <c r="AF311" s="102">
        <f t="shared" si="476"/>
        <v>0.23469999999999999</v>
      </c>
      <c r="AG311" s="102">
        <f t="shared" si="477"/>
        <v>1.2999999999999999E-2</v>
      </c>
      <c r="AH311" s="102">
        <f t="shared" si="491"/>
        <v>1.4E-2</v>
      </c>
      <c r="AI311" s="21">
        <f t="shared" si="492"/>
        <v>180</v>
      </c>
      <c r="AJ311" s="21">
        <f t="shared" si="493"/>
        <v>60</v>
      </c>
      <c r="AK311" s="101">
        <f t="shared" si="494"/>
        <v>1E-3</v>
      </c>
      <c r="AL311" s="21">
        <f t="shared" si="495"/>
        <v>3</v>
      </c>
      <c r="AM311" s="21">
        <f t="shared" si="496"/>
        <v>1500</v>
      </c>
      <c r="AN311" s="101">
        <f t="shared" si="497"/>
        <v>0.1</v>
      </c>
      <c r="AO311" s="185" t="str">
        <f t="shared" si="503"/>
        <v>NaN</v>
      </c>
    </row>
    <row r="312" spans="1:41" x14ac:dyDescent="0.2">
      <c r="A312" s="194" t="s">
        <v>296</v>
      </c>
      <c r="B312" s="194" t="s">
        <v>296</v>
      </c>
      <c r="C312" s="52">
        <v>35101</v>
      </c>
      <c r="D312" s="105">
        <v>58.6342</v>
      </c>
      <c r="E312" s="105">
        <v>16.3248</v>
      </c>
      <c r="F312" s="20">
        <v>8195</v>
      </c>
      <c r="G312" s="18">
        <v>0</v>
      </c>
      <c r="H312" s="53">
        <v>3</v>
      </c>
      <c r="I312" s="167">
        <f t="shared" si="555"/>
        <v>-0.76200000000000001</v>
      </c>
      <c r="J312" s="104">
        <f t="shared" si="555"/>
        <v>0.71299999999999997</v>
      </c>
      <c r="K312" s="104">
        <f t="shared" si="555"/>
        <v>-3.9E-2</v>
      </c>
      <c r="L312" s="105">
        <f t="shared" si="556"/>
        <v>0.19980000000000001</v>
      </c>
      <c r="M312" s="105">
        <f t="shared" si="556"/>
        <v>1.2E-2</v>
      </c>
      <c r="N312" s="105">
        <f t="shared" ref="N312" si="562">ROUND(N336,4)</f>
        <v>1.2999999999999999E-2</v>
      </c>
      <c r="O312" s="20">
        <f t="shared" si="558"/>
        <v>180</v>
      </c>
      <c r="P312" s="20">
        <f t="shared" si="558"/>
        <v>60</v>
      </c>
      <c r="Q312" s="104">
        <f t="shared" si="559"/>
        <v>1E-3</v>
      </c>
      <c r="R312" s="20">
        <f t="shared" si="560"/>
        <v>3</v>
      </c>
      <c r="S312" s="20">
        <f t="shared" si="560"/>
        <v>1500</v>
      </c>
      <c r="T312" s="104">
        <f t="shared" si="561"/>
        <v>0.1</v>
      </c>
      <c r="U312" s="123" t="s">
        <v>282</v>
      </c>
      <c r="V312" s="21"/>
      <c r="W312" s="58">
        <f t="shared" si="539"/>
        <v>35101</v>
      </c>
      <c r="X312" s="102">
        <f t="shared" si="501"/>
        <v>58.6342</v>
      </c>
      <c r="Y312" s="102">
        <f t="shared" si="502"/>
        <v>16.3248</v>
      </c>
      <c r="Z312" s="21">
        <f t="shared" si="540"/>
        <v>8195</v>
      </c>
      <c r="AA312" s="44">
        <f t="shared" si="541"/>
        <v>0</v>
      </c>
      <c r="AB312" s="21">
        <f t="shared" si="542"/>
        <v>3</v>
      </c>
      <c r="AC312" s="121">
        <f>ROUND(I312+mwreg!$G$34/100,3)</f>
        <v>-0.66400000000000003</v>
      </c>
      <c r="AD312" s="101">
        <f>ROUND(J312+mwreg!$G$34/100,3)</f>
        <v>0.81100000000000005</v>
      </c>
      <c r="AE312" s="101">
        <f>ROUND(K312+mwreg!$G$34/100,3)</f>
        <v>5.8999999999999997E-2</v>
      </c>
      <c r="AF312" s="102">
        <f t="shared" si="476"/>
        <v>0.19980000000000001</v>
      </c>
      <c r="AG312" s="102">
        <f t="shared" si="477"/>
        <v>1.2E-2</v>
      </c>
      <c r="AH312" s="102">
        <f t="shared" si="491"/>
        <v>1.2999999999999999E-2</v>
      </c>
      <c r="AI312" s="21">
        <f t="shared" si="492"/>
        <v>180</v>
      </c>
      <c r="AJ312" s="21">
        <f t="shared" si="493"/>
        <v>60</v>
      </c>
      <c r="AK312" s="101">
        <f t="shared" si="494"/>
        <v>1E-3</v>
      </c>
      <c r="AL312" s="21">
        <f t="shared" si="495"/>
        <v>3</v>
      </c>
      <c r="AM312" s="21">
        <f t="shared" si="496"/>
        <v>1500</v>
      </c>
      <c r="AN312" s="101">
        <f t="shared" si="497"/>
        <v>0.1</v>
      </c>
      <c r="AO312" s="185" t="str">
        <f t="shared" si="503"/>
        <v>NaN</v>
      </c>
    </row>
    <row r="313" spans="1:41" x14ac:dyDescent="0.2">
      <c r="A313" s="194" t="s">
        <v>296</v>
      </c>
      <c r="B313" s="194" t="s">
        <v>296</v>
      </c>
      <c r="C313" s="52">
        <v>35101</v>
      </c>
      <c r="D313" s="105">
        <v>58.6342</v>
      </c>
      <c r="E313" s="105">
        <v>16.3248</v>
      </c>
      <c r="F313" s="20">
        <v>8195</v>
      </c>
      <c r="G313" s="18">
        <v>0</v>
      </c>
      <c r="H313" s="53">
        <v>4</v>
      </c>
      <c r="I313" s="167">
        <f t="shared" si="555"/>
        <v>-0.502</v>
      </c>
      <c r="J313" s="104">
        <f t="shared" si="555"/>
        <v>0.47499999999999998</v>
      </c>
      <c r="K313" s="104">
        <f t="shared" si="555"/>
        <v>-5.6000000000000001E-2</v>
      </c>
      <c r="L313" s="105">
        <f t="shared" si="556"/>
        <v>0.14399999999999999</v>
      </c>
      <c r="M313" s="105">
        <f t="shared" si="556"/>
        <v>1.2E-2</v>
      </c>
      <c r="N313" s="105">
        <f t="shared" ref="N313" si="563">ROUND(N337,4)</f>
        <v>1.2999999999999999E-2</v>
      </c>
      <c r="O313" s="20">
        <f t="shared" si="558"/>
        <v>180</v>
      </c>
      <c r="P313" s="20">
        <f t="shared" si="558"/>
        <v>60</v>
      </c>
      <c r="Q313" s="104">
        <f t="shared" si="559"/>
        <v>1E-3</v>
      </c>
      <c r="R313" s="20">
        <f t="shared" si="560"/>
        <v>3</v>
      </c>
      <c r="S313" s="20">
        <f t="shared" si="560"/>
        <v>1500</v>
      </c>
      <c r="T313" s="104">
        <f t="shared" si="561"/>
        <v>0.1</v>
      </c>
      <c r="U313" s="123" t="s">
        <v>282</v>
      </c>
      <c r="V313" s="21"/>
      <c r="W313" s="58">
        <f t="shared" si="539"/>
        <v>35101</v>
      </c>
      <c r="X313" s="102">
        <f t="shared" si="501"/>
        <v>58.6342</v>
      </c>
      <c r="Y313" s="102">
        <f t="shared" si="502"/>
        <v>16.3248</v>
      </c>
      <c r="Z313" s="21">
        <f t="shared" si="540"/>
        <v>8195</v>
      </c>
      <c r="AA313" s="44">
        <f t="shared" si="541"/>
        <v>0</v>
      </c>
      <c r="AB313" s="21">
        <f t="shared" si="542"/>
        <v>4</v>
      </c>
      <c r="AC313" s="121">
        <f>ROUND(I313+mwreg!$G$34/100,3)</f>
        <v>-0.40400000000000003</v>
      </c>
      <c r="AD313" s="101">
        <f>ROUND(J313+mwreg!$G$34/100,3)</f>
        <v>0.57299999999999995</v>
      </c>
      <c r="AE313" s="101">
        <f>ROUND(K313+mwreg!$G$34/100,3)</f>
        <v>4.2000000000000003E-2</v>
      </c>
      <c r="AF313" s="102">
        <f t="shared" si="476"/>
        <v>0.14399999999999999</v>
      </c>
      <c r="AG313" s="102">
        <f t="shared" si="477"/>
        <v>1.2E-2</v>
      </c>
      <c r="AH313" s="102">
        <f t="shared" si="491"/>
        <v>1.2999999999999999E-2</v>
      </c>
      <c r="AI313" s="21">
        <f t="shared" si="492"/>
        <v>180</v>
      </c>
      <c r="AJ313" s="21">
        <f t="shared" si="493"/>
        <v>60</v>
      </c>
      <c r="AK313" s="101">
        <f t="shared" si="494"/>
        <v>1E-3</v>
      </c>
      <c r="AL313" s="21">
        <f t="shared" si="495"/>
        <v>3</v>
      </c>
      <c r="AM313" s="21">
        <f t="shared" si="496"/>
        <v>1500</v>
      </c>
      <c r="AN313" s="101">
        <f t="shared" si="497"/>
        <v>0.1</v>
      </c>
      <c r="AO313" s="185" t="str">
        <f t="shared" si="503"/>
        <v>NaN</v>
      </c>
    </row>
    <row r="314" spans="1:41" x14ac:dyDescent="0.2">
      <c r="A314" s="194" t="s">
        <v>296</v>
      </c>
      <c r="B314" s="194" t="s">
        <v>296</v>
      </c>
      <c r="C314" s="52">
        <v>35101</v>
      </c>
      <c r="D314" s="105">
        <v>58.6342</v>
      </c>
      <c r="E314" s="105">
        <v>16.3248</v>
      </c>
      <c r="F314" s="20">
        <v>8195</v>
      </c>
      <c r="G314" s="18">
        <v>0</v>
      </c>
      <c r="H314" s="53">
        <v>5</v>
      </c>
      <c r="I314" s="167">
        <f t="shared" si="555"/>
        <v>-0.47699999999999998</v>
      </c>
      <c r="J314" s="104">
        <f t="shared" si="555"/>
        <v>0.27900000000000003</v>
      </c>
      <c r="K314" s="104">
        <f t="shared" si="555"/>
        <v>-6.4000000000000001E-2</v>
      </c>
      <c r="L314" s="105">
        <f t="shared" si="556"/>
        <v>0.10879999999999999</v>
      </c>
      <c r="M314" s="105">
        <f t="shared" si="556"/>
        <v>1.4999999999999999E-2</v>
      </c>
      <c r="N314" s="105">
        <f t="shared" ref="N314" si="564">ROUND(N338,4)</f>
        <v>1.6E-2</v>
      </c>
      <c r="O314" s="20">
        <f t="shared" si="558"/>
        <v>180</v>
      </c>
      <c r="P314" s="20">
        <f t="shared" si="558"/>
        <v>60</v>
      </c>
      <c r="Q314" s="104">
        <f t="shared" si="559"/>
        <v>1E-3</v>
      </c>
      <c r="R314" s="20">
        <f t="shared" si="560"/>
        <v>3</v>
      </c>
      <c r="S314" s="20">
        <f t="shared" si="560"/>
        <v>1500</v>
      </c>
      <c r="T314" s="104">
        <f t="shared" si="561"/>
        <v>0.1</v>
      </c>
      <c r="U314" s="123" t="s">
        <v>282</v>
      </c>
      <c r="V314" s="21"/>
      <c r="W314" s="58">
        <f t="shared" si="539"/>
        <v>35101</v>
      </c>
      <c r="X314" s="102">
        <f t="shared" si="501"/>
        <v>58.6342</v>
      </c>
      <c r="Y314" s="102">
        <f t="shared" si="502"/>
        <v>16.3248</v>
      </c>
      <c r="Z314" s="21">
        <f t="shared" si="540"/>
        <v>8195</v>
      </c>
      <c r="AA314" s="44">
        <f t="shared" si="541"/>
        <v>0</v>
      </c>
      <c r="AB314" s="21">
        <f t="shared" si="542"/>
        <v>5</v>
      </c>
      <c r="AC314" s="121">
        <f>ROUND(I314+mwreg!$G$34/100,3)</f>
        <v>-0.379</v>
      </c>
      <c r="AD314" s="101">
        <f>ROUND(J314+mwreg!$G$34/100,3)</f>
        <v>0.377</v>
      </c>
      <c r="AE314" s="101">
        <f>ROUND(K314+mwreg!$G$34/100,3)</f>
        <v>3.4000000000000002E-2</v>
      </c>
      <c r="AF314" s="102">
        <f t="shared" si="476"/>
        <v>0.10879999999999999</v>
      </c>
      <c r="AG314" s="102">
        <f t="shared" si="477"/>
        <v>1.4999999999999999E-2</v>
      </c>
      <c r="AH314" s="102">
        <f t="shared" si="491"/>
        <v>1.6E-2</v>
      </c>
      <c r="AI314" s="21">
        <f t="shared" si="492"/>
        <v>180</v>
      </c>
      <c r="AJ314" s="21">
        <f t="shared" si="493"/>
        <v>60</v>
      </c>
      <c r="AK314" s="101">
        <f t="shared" si="494"/>
        <v>1E-3</v>
      </c>
      <c r="AL314" s="21">
        <f t="shared" si="495"/>
        <v>3</v>
      </c>
      <c r="AM314" s="21">
        <f t="shared" si="496"/>
        <v>1500</v>
      </c>
      <c r="AN314" s="101">
        <f t="shared" si="497"/>
        <v>0.1</v>
      </c>
      <c r="AO314" s="185" t="str">
        <f t="shared" si="503"/>
        <v>NaN</v>
      </c>
    </row>
    <row r="315" spans="1:41" x14ac:dyDescent="0.2">
      <c r="A315" s="194" t="s">
        <v>296</v>
      </c>
      <c r="B315" s="194" t="s">
        <v>296</v>
      </c>
      <c r="C315" s="52">
        <v>35101</v>
      </c>
      <c r="D315" s="105">
        <v>58.6342</v>
      </c>
      <c r="E315" s="105">
        <v>16.3248</v>
      </c>
      <c r="F315" s="20">
        <v>8195</v>
      </c>
      <c r="G315" s="18">
        <v>0</v>
      </c>
      <c r="H315" s="53">
        <v>6</v>
      </c>
      <c r="I315" s="167">
        <f t="shared" si="555"/>
        <v>-0.41899999999999998</v>
      </c>
      <c r="J315" s="104">
        <f t="shared" si="555"/>
        <v>0.42499999999999999</v>
      </c>
      <c r="K315" s="104">
        <f t="shared" si="555"/>
        <v>-3.2000000000000001E-2</v>
      </c>
      <c r="L315" s="105">
        <f t="shared" si="556"/>
        <v>0.12180000000000001</v>
      </c>
      <c r="M315" s="105">
        <f t="shared" si="556"/>
        <v>1.0999999999999999E-2</v>
      </c>
      <c r="N315" s="105">
        <f t="shared" ref="N315" si="565">ROUND(N339,4)</f>
        <v>1.2E-2</v>
      </c>
      <c r="O315" s="20">
        <f t="shared" si="558"/>
        <v>180</v>
      </c>
      <c r="P315" s="20">
        <f t="shared" si="558"/>
        <v>60</v>
      </c>
      <c r="Q315" s="104">
        <f t="shared" si="559"/>
        <v>1E-3</v>
      </c>
      <c r="R315" s="20">
        <f t="shared" si="560"/>
        <v>3</v>
      </c>
      <c r="S315" s="20">
        <f t="shared" si="560"/>
        <v>1500</v>
      </c>
      <c r="T315" s="104">
        <f t="shared" si="561"/>
        <v>0.1</v>
      </c>
      <c r="U315" s="123" t="s">
        <v>282</v>
      </c>
      <c r="V315" s="21"/>
      <c r="W315" s="58">
        <f t="shared" si="539"/>
        <v>35101</v>
      </c>
      <c r="X315" s="102">
        <f t="shared" si="501"/>
        <v>58.6342</v>
      </c>
      <c r="Y315" s="102">
        <f t="shared" si="502"/>
        <v>16.3248</v>
      </c>
      <c r="Z315" s="21">
        <f t="shared" si="540"/>
        <v>8195</v>
      </c>
      <c r="AA315" s="44">
        <f t="shared" si="541"/>
        <v>0</v>
      </c>
      <c r="AB315" s="21">
        <f t="shared" si="542"/>
        <v>6</v>
      </c>
      <c r="AC315" s="121">
        <f>ROUND(I315+mwreg!$G$34/100,3)</f>
        <v>-0.32100000000000001</v>
      </c>
      <c r="AD315" s="101">
        <f>ROUND(J315+mwreg!$G$34/100,3)</f>
        <v>0.52300000000000002</v>
      </c>
      <c r="AE315" s="101">
        <f>ROUND(K315+mwreg!$G$34/100,3)</f>
        <v>6.6000000000000003E-2</v>
      </c>
      <c r="AF315" s="102">
        <f t="shared" si="476"/>
        <v>0.12180000000000001</v>
      </c>
      <c r="AG315" s="102">
        <f t="shared" si="477"/>
        <v>1.0999999999999999E-2</v>
      </c>
      <c r="AH315" s="102">
        <f t="shared" si="491"/>
        <v>1.2E-2</v>
      </c>
      <c r="AI315" s="21">
        <f t="shared" si="492"/>
        <v>180</v>
      </c>
      <c r="AJ315" s="21">
        <f t="shared" si="493"/>
        <v>60</v>
      </c>
      <c r="AK315" s="101">
        <f t="shared" si="494"/>
        <v>1E-3</v>
      </c>
      <c r="AL315" s="21">
        <f t="shared" si="495"/>
        <v>3</v>
      </c>
      <c r="AM315" s="21">
        <f t="shared" si="496"/>
        <v>1500</v>
      </c>
      <c r="AN315" s="101">
        <f t="shared" si="497"/>
        <v>0.1</v>
      </c>
      <c r="AO315" s="185" t="str">
        <f t="shared" si="503"/>
        <v>NaN</v>
      </c>
    </row>
    <row r="316" spans="1:41" x14ac:dyDescent="0.2">
      <c r="A316" s="194" t="s">
        <v>296</v>
      </c>
      <c r="B316" s="194" t="s">
        <v>296</v>
      </c>
      <c r="C316" s="52">
        <v>35101</v>
      </c>
      <c r="D316" s="105">
        <v>58.6342</v>
      </c>
      <c r="E316" s="105">
        <v>16.3248</v>
      </c>
      <c r="F316" s="20">
        <v>8195</v>
      </c>
      <c r="G316" s="18">
        <v>0</v>
      </c>
      <c r="H316" s="53">
        <v>7</v>
      </c>
      <c r="I316" s="167">
        <f t="shared" si="555"/>
        <v>-0.28000000000000003</v>
      </c>
      <c r="J316" s="104">
        <f t="shared" si="555"/>
        <v>0.41299999999999998</v>
      </c>
      <c r="K316" s="104">
        <f t="shared" si="555"/>
        <v>0.05</v>
      </c>
      <c r="L316" s="105">
        <f t="shared" si="556"/>
        <v>0.1082</v>
      </c>
      <c r="M316" s="105">
        <f t="shared" si="556"/>
        <v>1.2E-2</v>
      </c>
      <c r="N316" s="105">
        <f t="shared" ref="N316" si="566">ROUND(N340,4)</f>
        <v>1.2999999999999999E-2</v>
      </c>
      <c r="O316" s="20">
        <f t="shared" si="558"/>
        <v>180</v>
      </c>
      <c r="P316" s="20">
        <f t="shared" si="558"/>
        <v>60</v>
      </c>
      <c r="Q316" s="104">
        <f t="shared" si="559"/>
        <v>1E-3</v>
      </c>
      <c r="R316" s="20">
        <f t="shared" si="560"/>
        <v>3</v>
      </c>
      <c r="S316" s="20">
        <f t="shared" si="560"/>
        <v>1500</v>
      </c>
      <c r="T316" s="104">
        <f t="shared" si="561"/>
        <v>0.1</v>
      </c>
      <c r="U316" s="123" t="s">
        <v>282</v>
      </c>
      <c r="V316" s="21"/>
      <c r="W316" s="58">
        <f t="shared" si="539"/>
        <v>35101</v>
      </c>
      <c r="X316" s="102">
        <f t="shared" si="501"/>
        <v>58.6342</v>
      </c>
      <c r="Y316" s="102">
        <f t="shared" si="502"/>
        <v>16.3248</v>
      </c>
      <c r="Z316" s="21">
        <f t="shared" si="540"/>
        <v>8195</v>
      </c>
      <c r="AA316" s="44">
        <f t="shared" si="541"/>
        <v>0</v>
      </c>
      <c r="AB316" s="21">
        <f t="shared" si="542"/>
        <v>7</v>
      </c>
      <c r="AC316" s="121">
        <f>ROUND(I316+mwreg!$G$34/100,3)</f>
        <v>-0.182</v>
      </c>
      <c r="AD316" s="101">
        <f>ROUND(J316+mwreg!$G$34/100,3)</f>
        <v>0.51100000000000001</v>
      </c>
      <c r="AE316" s="101">
        <f>ROUND(K316+mwreg!$G$34/100,3)</f>
        <v>0.14799999999999999</v>
      </c>
      <c r="AF316" s="102">
        <f t="shared" si="476"/>
        <v>0.1082</v>
      </c>
      <c r="AG316" s="102">
        <f t="shared" si="477"/>
        <v>1.2E-2</v>
      </c>
      <c r="AH316" s="102">
        <f t="shared" si="491"/>
        <v>1.2999999999999999E-2</v>
      </c>
      <c r="AI316" s="21">
        <f t="shared" si="492"/>
        <v>180</v>
      </c>
      <c r="AJ316" s="21">
        <f t="shared" si="493"/>
        <v>60</v>
      </c>
      <c r="AK316" s="101">
        <f t="shared" si="494"/>
        <v>1E-3</v>
      </c>
      <c r="AL316" s="21">
        <f t="shared" si="495"/>
        <v>3</v>
      </c>
      <c r="AM316" s="21">
        <f t="shared" si="496"/>
        <v>1500</v>
      </c>
      <c r="AN316" s="101">
        <f t="shared" si="497"/>
        <v>0.1</v>
      </c>
      <c r="AO316" s="185" t="str">
        <f t="shared" si="503"/>
        <v>NaN</v>
      </c>
    </row>
    <row r="317" spans="1:41" x14ac:dyDescent="0.2">
      <c r="A317" s="194" t="s">
        <v>296</v>
      </c>
      <c r="B317" s="194" t="s">
        <v>296</v>
      </c>
      <c r="C317" s="52">
        <v>35101</v>
      </c>
      <c r="D317" s="105">
        <v>58.6342</v>
      </c>
      <c r="E317" s="105">
        <v>16.3248</v>
      </c>
      <c r="F317" s="20">
        <v>8195</v>
      </c>
      <c r="G317" s="18">
        <v>0</v>
      </c>
      <c r="H317" s="53">
        <v>8</v>
      </c>
      <c r="I317" s="167">
        <f t="shared" si="555"/>
        <v>-0.375</v>
      </c>
      <c r="J317" s="104">
        <f t="shared" si="555"/>
        <v>0.39900000000000002</v>
      </c>
      <c r="K317" s="104">
        <f t="shared" si="555"/>
        <v>1.4E-2</v>
      </c>
      <c r="L317" s="105">
        <f t="shared" si="556"/>
        <v>0.10970000000000001</v>
      </c>
      <c r="M317" s="105">
        <f t="shared" si="556"/>
        <v>1.2E-2</v>
      </c>
      <c r="N317" s="105">
        <f t="shared" ref="N317" si="567">ROUND(N341,4)</f>
        <v>1.2999999999999999E-2</v>
      </c>
      <c r="O317" s="20">
        <f t="shared" si="558"/>
        <v>180</v>
      </c>
      <c r="P317" s="20">
        <f t="shared" si="558"/>
        <v>60</v>
      </c>
      <c r="Q317" s="104">
        <f t="shared" si="559"/>
        <v>1E-3</v>
      </c>
      <c r="R317" s="20">
        <f t="shared" si="560"/>
        <v>3</v>
      </c>
      <c r="S317" s="20">
        <f t="shared" si="560"/>
        <v>1500</v>
      </c>
      <c r="T317" s="104">
        <f t="shared" si="561"/>
        <v>0.1</v>
      </c>
      <c r="U317" s="123" t="s">
        <v>282</v>
      </c>
      <c r="V317" s="21"/>
      <c r="W317" s="58">
        <f t="shared" si="539"/>
        <v>35101</v>
      </c>
      <c r="X317" s="102">
        <f t="shared" si="501"/>
        <v>58.6342</v>
      </c>
      <c r="Y317" s="102">
        <f t="shared" si="502"/>
        <v>16.3248</v>
      </c>
      <c r="Z317" s="21">
        <f t="shared" si="540"/>
        <v>8195</v>
      </c>
      <c r="AA317" s="44">
        <f t="shared" si="541"/>
        <v>0</v>
      </c>
      <c r="AB317" s="21">
        <f t="shared" si="542"/>
        <v>8</v>
      </c>
      <c r="AC317" s="121">
        <f>ROUND(I317+mwreg!$G$34/100,3)</f>
        <v>-0.27700000000000002</v>
      </c>
      <c r="AD317" s="101">
        <f>ROUND(J317+mwreg!$G$34/100,3)</f>
        <v>0.497</v>
      </c>
      <c r="AE317" s="101">
        <f>ROUND(K317+mwreg!$G$34/100,3)</f>
        <v>0.112</v>
      </c>
      <c r="AF317" s="102">
        <f t="shared" si="476"/>
        <v>0.10970000000000001</v>
      </c>
      <c r="AG317" s="102">
        <f t="shared" si="477"/>
        <v>1.2E-2</v>
      </c>
      <c r="AH317" s="102">
        <f t="shared" si="491"/>
        <v>1.2999999999999999E-2</v>
      </c>
      <c r="AI317" s="21">
        <f t="shared" si="492"/>
        <v>180</v>
      </c>
      <c r="AJ317" s="21">
        <f t="shared" si="493"/>
        <v>60</v>
      </c>
      <c r="AK317" s="101">
        <f t="shared" si="494"/>
        <v>1E-3</v>
      </c>
      <c r="AL317" s="21">
        <f t="shared" si="495"/>
        <v>3</v>
      </c>
      <c r="AM317" s="21">
        <f t="shared" si="496"/>
        <v>1500</v>
      </c>
      <c r="AN317" s="101">
        <f t="shared" si="497"/>
        <v>0.1</v>
      </c>
      <c r="AO317" s="185" t="str">
        <f t="shared" si="503"/>
        <v>NaN</v>
      </c>
    </row>
    <row r="318" spans="1:41" x14ac:dyDescent="0.2">
      <c r="A318" s="194" t="s">
        <v>296</v>
      </c>
      <c r="B318" s="194" t="s">
        <v>296</v>
      </c>
      <c r="C318" s="52">
        <v>35101</v>
      </c>
      <c r="D318" s="105">
        <v>58.6342</v>
      </c>
      <c r="E318" s="105">
        <v>16.3248</v>
      </c>
      <c r="F318" s="20">
        <v>8195</v>
      </c>
      <c r="G318" s="18">
        <v>0</v>
      </c>
      <c r="H318" s="53">
        <v>9</v>
      </c>
      <c r="I318" s="167">
        <f t="shared" si="555"/>
        <v>-0.51</v>
      </c>
      <c r="J318" s="104">
        <f t="shared" si="555"/>
        <v>0.51</v>
      </c>
      <c r="K318" s="104">
        <f t="shared" si="555"/>
        <v>3.1E-2</v>
      </c>
      <c r="L318" s="105">
        <f t="shared" si="556"/>
        <v>0.1206</v>
      </c>
      <c r="M318" s="105">
        <f t="shared" si="556"/>
        <v>1.0999999999999999E-2</v>
      </c>
      <c r="N318" s="105">
        <f t="shared" ref="N318" si="568">ROUND(N342,4)</f>
        <v>1.2E-2</v>
      </c>
      <c r="O318" s="20">
        <f t="shared" si="558"/>
        <v>180</v>
      </c>
      <c r="P318" s="20">
        <f t="shared" si="558"/>
        <v>60</v>
      </c>
      <c r="Q318" s="104">
        <f t="shared" si="559"/>
        <v>1E-3</v>
      </c>
      <c r="R318" s="20">
        <f t="shared" si="560"/>
        <v>3</v>
      </c>
      <c r="S318" s="20">
        <f t="shared" si="560"/>
        <v>1500</v>
      </c>
      <c r="T318" s="104">
        <f t="shared" si="561"/>
        <v>0.1</v>
      </c>
      <c r="U318" s="123" t="s">
        <v>282</v>
      </c>
      <c r="V318" s="21"/>
      <c r="W318" s="58">
        <f t="shared" si="539"/>
        <v>35101</v>
      </c>
      <c r="X318" s="102">
        <f t="shared" si="501"/>
        <v>58.6342</v>
      </c>
      <c r="Y318" s="102">
        <f t="shared" si="502"/>
        <v>16.3248</v>
      </c>
      <c r="Z318" s="21">
        <f t="shared" si="540"/>
        <v>8195</v>
      </c>
      <c r="AA318" s="44">
        <f t="shared" si="541"/>
        <v>0</v>
      </c>
      <c r="AB318" s="21">
        <f t="shared" si="542"/>
        <v>9</v>
      </c>
      <c r="AC318" s="121">
        <f>ROUND(I318+mwreg!$G$34/100,3)</f>
        <v>-0.41199999999999998</v>
      </c>
      <c r="AD318" s="101">
        <f>ROUND(J318+mwreg!$G$34/100,3)</f>
        <v>0.60799999999999998</v>
      </c>
      <c r="AE318" s="101">
        <f>ROUND(K318+mwreg!$G$34/100,3)</f>
        <v>0.129</v>
      </c>
      <c r="AF318" s="102">
        <f t="shared" si="476"/>
        <v>0.1206</v>
      </c>
      <c r="AG318" s="102">
        <f t="shared" si="477"/>
        <v>1.0999999999999999E-2</v>
      </c>
      <c r="AH318" s="102">
        <f t="shared" si="491"/>
        <v>1.2E-2</v>
      </c>
      <c r="AI318" s="21">
        <f t="shared" si="492"/>
        <v>180</v>
      </c>
      <c r="AJ318" s="21">
        <f t="shared" si="493"/>
        <v>60</v>
      </c>
      <c r="AK318" s="101">
        <f t="shared" si="494"/>
        <v>1E-3</v>
      </c>
      <c r="AL318" s="21">
        <f t="shared" si="495"/>
        <v>3</v>
      </c>
      <c r="AM318" s="21">
        <f t="shared" si="496"/>
        <v>1500</v>
      </c>
      <c r="AN318" s="101">
        <f t="shared" si="497"/>
        <v>0.1</v>
      </c>
      <c r="AO318" s="185" t="str">
        <f t="shared" si="503"/>
        <v>NaN</v>
      </c>
    </row>
    <row r="319" spans="1:41" x14ac:dyDescent="0.2">
      <c r="A319" s="194" t="s">
        <v>296</v>
      </c>
      <c r="B319" s="194" t="s">
        <v>296</v>
      </c>
      <c r="C319" s="52">
        <v>35101</v>
      </c>
      <c r="D319" s="105">
        <v>58.6342</v>
      </c>
      <c r="E319" s="105">
        <v>16.3248</v>
      </c>
      <c r="F319" s="20">
        <v>8195</v>
      </c>
      <c r="G319" s="18">
        <v>0</v>
      </c>
      <c r="H319" s="53">
        <v>10</v>
      </c>
      <c r="I319" s="167">
        <f t="shared" si="555"/>
        <v>-0.53200000000000003</v>
      </c>
      <c r="J319" s="104">
        <f t="shared" si="555"/>
        <v>0.72499999999999998</v>
      </c>
      <c r="K319" s="104">
        <f t="shared" si="555"/>
        <v>-1.2E-2</v>
      </c>
      <c r="L319" s="105">
        <f t="shared" si="556"/>
        <v>0.1704</v>
      </c>
      <c r="M319" s="105">
        <f t="shared" si="556"/>
        <v>1.2E-2</v>
      </c>
      <c r="N319" s="105">
        <f t="shared" ref="N319" si="569">ROUND(N343,4)</f>
        <v>1.2999999999999999E-2</v>
      </c>
      <c r="O319" s="20">
        <f t="shared" si="558"/>
        <v>180</v>
      </c>
      <c r="P319" s="20">
        <f t="shared" si="558"/>
        <v>60</v>
      </c>
      <c r="Q319" s="104">
        <f t="shared" si="559"/>
        <v>1E-3</v>
      </c>
      <c r="R319" s="20">
        <f t="shared" si="560"/>
        <v>3</v>
      </c>
      <c r="S319" s="20">
        <f t="shared" si="560"/>
        <v>1500</v>
      </c>
      <c r="T319" s="104">
        <f t="shared" si="561"/>
        <v>0.1</v>
      </c>
      <c r="U319" s="123" t="s">
        <v>282</v>
      </c>
      <c r="V319" s="21"/>
      <c r="W319" s="58">
        <f t="shared" si="539"/>
        <v>35101</v>
      </c>
      <c r="X319" s="102">
        <f t="shared" si="501"/>
        <v>58.6342</v>
      </c>
      <c r="Y319" s="102">
        <f t="shared" si="502"/>
        <v>16.3248</v>
      </c>
      <c r="Z319" s="21">
        <f t="shared" si="540"/>
        <v>8195</v>
      </c>
      <c r="AA319" s="44">
        <f t="shared" si="541"/>
        <v>0</v>
      </c>
      <c r="AB319" s="21">
        <f t="shared" si="542"/>
        <v>10</v>
      </c>
      <c r="AC319" s="121">
        <f>ROUND(I319+mwreg!$G$34/100,3)</f>
        <v>-0.434</v>
      </c>
      <c r="AD319" s="101">
        <f>ROUND(J319+mwreg!$G$34/100,3)</f>
        <v>0.82299999999999995</v>
      </c>
      <c r="AE319" s="101">
        <f>ROUND(K319+mwreg!$G$34/100,3)</f>
        <v>8.5999999999999993E-2</v>
      </c>
      <c r="AF319" s="102">
        <f t="shared" ref="AF319:AF381" si="570">L319</f>
        <v>0.1704</v>
      </c>
      <c r="AG319" s="102">
        <f t="shared" ref="AG319:AG381" si="571">M319</f>
        <v>1.2E-2</v>
      </c>
      <c r="AH319" s="102">
        <f t="shared" si="491"/>
        <v>1.2999999999999999E-2</v>
      </c>
      <c r="AI319" s="21">
        <f t="shared" si="492"/>
        <v>180</v>
      </c>
      <c r="AJ319" s="21">
        <f t="shared" si="493"/>
        <v>60</v>
      </c>
      <c r="AK319" s="101">
        <f t="shared" si="494"/>
        <v>1E-3</v>
      </c>
      <c r="AL319" s="21">
        <f t="shared" si="495"/>
        <v>3</v>
      </c>
      <c r="AM319" s="21">
        <f t="shared" si="496"/>
        <v>1500</v>
      </c>
      <c r="AN319" s="101">
        <f t="shared" si="497"/>
        <v>0.1</v>
      </c>
      <c r="AO319" s="185" t="str">
        <f t="shared" si="503"/>
        <v>NaN</v>
      </c>
    </row>
    <row r="320" spans="1:41" x14ac:dyDescent="0.2">
      <c r="A320" s="194" t="s">
        <v>296</v>
      </c>
      <c r="B320" s="194" t="s">
        <v>296</v>
      </c>
      <c r="C320" s="52">
        <v>35101</v>
      </c>
      <c r="D320" s="105">
        <v>58.6342</v>
      </c>
      <c r="E320" s="105">
        <v>16.3248</v>
      </c>
      <c r="F320" s="20">
        <v>8195</v>
      </c>
      <c r="G320" s="18">
        <v>0</v>
      </c>
      <c r="H320" s="53">
        <v>11</v>
      </c>
      <c r="I320" s="167">
        <f t="shared" si="555"/>
        <v>-0.59499999999999997</v>
      </c>
      <c r="J320" s="104">
        <f t="shared" si="555"/>
        <v>0.72</v>
      </c>
      <c r="K320" s="104">
        <f t="shared" si="555"/>
        <v>1.9E-2</v>
      </c>
      <c r="L320" s="105">
        <f t="shared" si="556"/>
        <v>0.1908</v>
      </c>
      <c r="M320" s="105">
        <f t="shared" si="556"/>
        <v>1.2999999999999999E-2</v>
      </c>
      <c r="N320" s="105">
        <f t="shared" ref="N320" si="572">ROUND(N344,4)</f>
        <v>1.4999999999999999E-2</v>
      </c>
      <c r="O320" s="20">
        <f t="shared" si="558"/>
        <v>180</v>
      </c>
      <c r="P320" s="20">
        <f t="shared" si="558"/>
        <v>60</v>
      </c>
      <c r="Q320" s="104">
        <f t="shared" si="559"/>
        <v>1E-3</v>
      </c>
      <c r="R320" s="20">
        <f t="shared" si="560"/>
        <v>3</v>
      </c>
      <c r="S320" s="20">
        <f t="shared" si="560"/>
        <v>1500</v>
      </c>
      <c r="T320" s="104">
        <f t="shared" si="561"/>
        <v>0.1</v>
      </c>
      <c r="U320" s="123" t="s">
        <v>282</v>
      </c>
      <c r="V320" s="21"/>
      <c r="W320" s="58">
        <f t="shared" si="539"/>
        <v>35101</v>
      </c>
      <c r="X320" s="102">
        <f t="shared" si="501"/>
        <v>58.6342</v>
      </c>
      <c r="Y320" s="102">
        <f t="shared" si="502"/>
        <v>16.3248</v>
      </c>
      <c r="Z320" s="21">
        <f t="shared" si="540"/>
        <v>8195</v>
      </c>
      <c r="AA320" s="44">
        <f t="shared" si="541"/>
        <v>0</v>
      </c>
      <c r="AB320" s="21">
        <f t="shared" si="542"/>
        <v>11</v>
      </c>
      <c r="AC320" s="121">
        <f>ROUND(I320+mwreg!$G$34/100,3)</f>
        <v>-0.497</v>
      </c>
      <c r="AD320" s="101">
        <f>ROUND(J320+mwreg!$G$34/100,3)</f>
        <v>0.81799999999999995</v>
      </c>
      <c r="AE320" s="101">
        <f>ROUND(K320+mwreg!$G$34/100,3)</f>
        <v>0.11700000000000001</v>
      </c>
      <c r="AF320" s="102">
        <f t="shared" si="570"/>
        <v>0.1908</v>
      </c>
      <c r="AG320" s="102">
        <f t="shared" si="571"/>
        <v>1.2999999999999999E-2</v>
      </c>
      <c r="AH320" s="102">
        <f t="shared" si="491"/>
        <v>1.4999999999999999E-2</v>
      </c>
      <c r="AI320" s="21">
        <f t="shared" si="492"/>
        <v>180</v>
      </c>
      <c r="AJ320" s="21">
        <f t="shared" si="493"/>
        <v>60</v>
      </c>
      <c r="AK320" s="101">
        <f t="shared" si="494"/>
        <v>1E-3</v>
      </c>
      <c r="AL320" s="21">
        <f t="shared" si="495"/>
        <v>3</v>
      </c>
      <c r="AM320" s="21">
        <f t="shared" si="496"/>
        <v>1500</v>
      </c>
      <c r="AN320" s="101">
        <f t="shared" si="497"/>
        <v>0.1</v>
      </c>
      <c r="AO320" s="185" t="str">
        <f t="shared" si="503"/>
        <v>NaN</v>
      </c>
    </row>
    <row r="321" spans="1:41" x14ac:dyDescent="0.2">
      <c r="A321" s="194" t="s">
        <v>296</v>
      </c>
      <c r="B321" s="194" t="s">
        <v>296</v>
      </c>
      <c r="C321" s="52">
        <v>35101</v>
      </c>
      <c r="D321" s="105">
        <v>58.6342</v>
      </c>
      <c r="E321" s="105">
        <v>16.3248</v>
      </c>
      <c r="F321" s="20">
        <v>8195</v>
      </c>
      <c r="G321" s="18">
        <v>0</v>
      </c>
      <c r="H321" s="53">
        <v>12</v>
      </c>
      <c r="I321" s="167">
        <f t="shared" si="555"/>
        <v>-0.60699999999999998</v>
      </c>
      <c r="J321" s="104">
        <f t="shared" si="555"/>
        <v>0.67</v>
      </c>
      <c r="K321" s="104">
        <f t="shared" si="555"/>
        <v>0.14099999999999999</v>
      </c>
      <c r="L321" s="105">
        <f t="shared" si="556"/>
        <v>0.2291</v>
      </c>
      <c r="M321" s="105">
        <f t="shared" si="556"/>
        <v>1.7000000000000001E-2</v>
      </c>
      <c r="N321" s="105">
        <f t="shared" ref="N321" si="573">ROUND(N345,4)</f>
        <v>1.9E-2</v>
      </c>
      <c r="O321" s="20">
        <f t="shared" si="558"/>
        <v>180</v>
      </c>
      <c r="P321" s="20">
        <f t="shared" si="558"/>
        <v>60</v>
      </c>
      <c r="Q321" s="104">
        <f t="shared" si="559"/>
        <v>1E-3</v>
      </c>
      <c r="R321" s="20">
        <f t="shared" si="560"/>
        <v>3</v>
      </c>
      <c r="S321" s="20">
        <f t="shared" si="560"/>
        <v>1500</v>
      </c>
      <c r="T321" s="104">
        <f t="shared" si="561"/>
        <v>0.1</v>
      </c>
      <c r="U321" s="123" t="s">
        <v>282</v>
      </c>
      <c r="V321" s="21"/>
      <c r="W321" s="58">
        <f t="shared" si="539"/>
        <v>35101</v>
      </c>
      <c r="X321" s="102">
        <f t="shared" si="501"/>
        <v>58.6342</v>
      </c>
      <c r="Y321" s="102">
        <f t="shared" si="502"/>
        <v>16.3248</v>
      </c>
      <c r="Z321" s="21">
        <f t="shared" si="540"/>
        <v>8195</v>
      </c>
      <c r="AA321" s="44">
        <f t="shared" si="541"/>
        <v>0</v>
      </c>
      <c r="AB321" s="21">
        <f t="shared" si="542"/>
        <v>12</v>
      </c>
      <c r="AC321" s="121">
        <f>ROUND(I321+mwreg!$G$34/100,3)</f>
        <v>-0.50900000000000001</v>
      </c>
      <c r="AD321" s="101">
        <f>ROUND(J321+mwreg!$G$34/100,3)</f>
        <v>0.76800000000000002</v>
      </c>
      <c r="AE321" s="101">
        <f>ROUND(K321+mwreg!$G$34/100,3)</f>
        <v>0.23899999999999999</v>
      </c>
      <c r="AF321" s="102">
        <f t="shared" si="570"/>
        <v>0.2291</v>
      </c>
      <c r="AG321" s="102">
        <f t="shared" si="571"/>
        <v>1.7000000000000001E-2</v>
      </c>
      <c r="AH321" s="102">
        <f t="shared" si="491"/>
        <v>1.9E-2</v>
      </c>
      <c r="AI321" s="21">
        <f t="shared" si="492"/>
        <v>180</v>
      </c>
      <c r="AJ321" s="21">
        <f t="shared" si="493"/>
        <v>60</v>
      </c>
      <c r="AK321" s="101">
        <f t="shared" si="494"/>
        <v>1E-3</v>
      </c>
      <c r="AL321" s="21">
        <f t="shared" si="495"/>
        <v>3</v>
      </c>
      <c r="AM321" s="21">
        <f t="shared" si="496"/>
        <v>1500</v>
      </c>
      <c r="AN321" s="101">
        <f t="shared" si="497"/>
        <v>0.1</v>
      </c>
      <c r="AO321" s="185" t="str">
        <f t="shared" si="503"/>
        <v>NaN</v>
      </c>
    </row>
    <row r="322" spans="1:41" x14ac:dyDescent="0.2">
      <c r="A322" s="194" t="str">
        <f>stat_uppg!A$35</f>
        <v>2076/33059</v>
      </c>
      <c r="B322" s="194" t="str">
        <f>stat_uppg!B$35</f>
        <v>Marviken (SMHI) nedlagd</v>
      </c>
      <c r="C322" s="52">
        <v>2076</v>
      </c>
      <c r="D322" s="105">
        <v>58.553600000000003</v>
      </c>
      <c r="E322" s="109">
        <v>16.837199999999999</v>
      </c>
      <c r="F322" s="110">
        <v>8195</v>
      </c>
      <c r="G322" s="179">
        <v>0</v>
      </c>
      <c r="H322" s="186">
        <v>1</v>
      </c>
      <c r="I322" s="119">
        <f>ROUND(I334,3)</f>
        <v>-0.64200000000000002</v>
      </c>
      <c r="J322" s="108">
        <f>ROUND(J334,3)</f>
        <v>0.94499999999999995</v>
      </c>
      <c r="K322" s="108">
        <f>ROUND(K334,3)</f>
        <v>0.14299999999999999</v>
      </c>
      <c r="L322" s="109">
        <f>ROUND(L334,4)</f>
        <v>0.21640000000000001</v>
      </c>
      <c r="M322" s="109">
        <f t="shared" ref="M322:N322" si="574">ROUND(M334,4)</f>
        <v>1.2E-2</v>
      </c>
      <c r="N322" s="109">
        <f t="shared" si="574"/>
        <v>1.2999999999999999E-2</v>
      </c>
      <c r="O322" s="110">
        <f>ROUND(O334,0)</f>
        <v>180</v>
      </c>
      <c r="P322" s="110">
        <f>ROUND(P334,0)</f>
        <v>60</v>
      </c>
      <c r="Q322" s="108">
        <f>ROUND(Q334,3)</f>
        <v>1E-3</v>
      </c>
      <c r="R322" s="110">
        <f t="shared" ref="R322:S322" si="575">ROUND(R334,0)</f>
        <v>3</v>
      </c>
      <c r="S322" s="110">
        <f t="shared" si="575"/>
        <v>1500</v>
      </c>
      <c r="T322" s="108">
        <f>ROUND(T334,3)</f>
        <v>0.1</v>
      </c>
      <c r="U322" s="53" t="s">
        <v>282</v>
      </c>
      <c r="V322" s="105"/>
      <c r="W322" s="52">
        <v>2076</v>
      </c>
      <c r="X322" s="105">
        <v>58.553600000000003</v>
      </c>
      <c r="Y322" s="109">
        <v>16.837199999999999</v>
      </c>
      <c r="Z322" s="110">
        <v>8195</v>
      </c>
      <c r="AA322" s="179">
        <v>0</v>
      </c>
      <c r="AB322" s="110">
        <f t="shared" ref="AB322:AB381" si="576">H322</f>
        <v>1</v>
      </c>
      <c r="AC322" s="119">
        <f>ROUND(I322+mwreg!$G$35/100,3)</f>
        <v>-0.54400000000000004</v>
      </c>
      <c r="AD322" s="108">
        <f>ROUND(J322+mwreg!$G$35/100,3)</f>
        <v>1.0429999999999999</v>
      </c>
      <c r="AE322" s="108">
        <f>ROUND(K322+mwreg!$G$35/100,3)</f>
        <v>0.24099999999999999</v>
      </c>
      <c r="AF322" s="102">
        <f t="shared" si="570"/>
        <v>0.21640000000000001</v>
      </c>
      <c r="AG322" s="102">
        <f t="shared" si="571"/>
        <v>1.2E-2</v>
      </c>
      <c r="AH322" s="109">
        <f t="shared" ref="AH322:AH345" si="577">ROUND(N322,3)</f>
        <v>1.2999999999999999E-2</v>
      </c>
      <c r="AI322" s="110">
        <f t="shared" ref="AI322:AI345" si="578">ROUND(O322,0)</f>
        <v>180</v>
      </c>
      <c r="AJ322" s="110">
        <f t="shared" ref="AJ322:AJ345" si="579">ROUND(P322,0)</f>
        <v>60</v>
      </c>
      <c r="AK322" s="108">
        <f t="shared" ref="AK322:AK345" si="580">ROUND(Q322,3)</f>
        <v>1E-3</v>
      </c>
      <c r="AL322" s="110">
        <f t="shared" ref="AL322:AL345" si="581">ROUND(R322,0)</f>
        <v>3</v>
      </c>
      <c r="AM322" s="110">
        <f t="shared" ref="AM322:AM345" si="582">ROUND(S322,0)</f>
        <v>1500</v>
      </c>
      <c r="AN322" s="104">
        <f t="shared" ref="AN322:AN345" si="583">ROUND(T322,3)</f>
        <v>0.1</v>
      </c>
      <c r="AO322" s="53" t="str">
        <f t="shared" si="503"/>
        <v>NaN</v>
      </c>
    </row>
    <row r="323" spans="1:41" x14ac:dyDescent="0.2">
      <c r="A323" s="194" t="s">
        <v>296</v>
      </c>
      <c r="B323" s="194" t="s">
        <v>296</v>
      </c>
      <c r="C323" s="52">
        <v>2076</v>
      </c>
      <c r="D323" s="105">
        <v>58.553600000000003</v>
      </c>
      <c r="E323" s="109">
        <v>16.837199999999999</v>
      </c>
      <c r="F323" s="110">
        <v>8195</v>
      </c>
      <c r="G323" s="179">
        <v>0</v>
      </c>
      <c r="H323" s="186">
        <v>2</v>
      </c>
      <c r="I323" s="119">
        <f t="shared" ref="I323:K323" si="584">ROUND(I335,3)</f>
        <v>-0.65200000000000002</v>
      </c>
      <c r="J323" s="108">
        <f t="shared" si="584"/>
        <v>0.94399999999999995</v>
      </c>
      <c r="K323" s="108">
        <f t="shared" si="584"/>
        <v>5.6000000000000001E-2</v>
      </c>
      <c r="L323" s="109">
        <f t="shared" ref="L323:N323" si="585">ROUND(L335,4)</f>
        <v>0.23469999999999999</v>
      </c>
      <c r="M323" s="109">
        <f t="shared" si="585"/>
        <v>1.2999999999999999E-2</v>
      </c>
      <c r="N323" s="109">
        <f t="shared" si="585"/>
        <v>1.4E-2</v>
      </c>
      <c r="O323" s="110">
        <f t="shared" ref="O323:P323" si="586">ROUND(O335,0)</f>
        <v>180</v>
      </c>
      <c r="P323" s="110">
        <f t="shared" si="586"/>
        <v>60</v>
      </c>
      <c r="Q323" s="108">
        <f t="shared" ref="Q323:Q333" si="587">ROUND(Q335,3)</f>
        <v>1E-3</v>
      </c>
      <c r="R323" s="110">
        <f t="shared" ref="R323:S323" si="588">ROUND(R335,0)</f>
        <v>3</v>
      </c>
      <c r="S323" s="110">
        <f t="shared" si="588"/>
        <v>1500</v>
      </c>
      <c r="T323" s="108">
        <f t="shared" ref="T323:T333" si="589">ROUND(T335,3)</f>
        <v>0.1</v>
      </c>
      <c r="U323" s="53" t="s">
        <v>282</v>
      </c>
      <c r="V323" s="105"/>
      <c r="W323" s="52">
        <v>2076</v>
      </c>
      <c r="X323" s="105">
        <v>58.553600000000003</v>
      </c>
      <c r="Y323" s="109">
        <v>16.837199999999999</v>
      </c>
      <c r="Z323" s="110">
        <v>8195</v>
      </c>
      <c r="AA323" s="179">
        <v>0</v>
      </c>
      <c r="AB323" s="110">
        <f t="shared" si="576"/>
        <v>2</v>
      </c>
      <c r="AC323" s="119">
        <f>ROUND(I323+mwreg!$G$35/100,3)</f>
        <v>-0.55400000000000005</v>
      </c>
      <c r="AD323" s="108">
        <f>ROUND(J323+mwreg!$G$35/100,3)</f>
        <v>1.042</v>
      </c>
      <c r="AE323" s="108">
        <f>ROUND(K323+mwreg!$G$35/100,3)</f>
        <v>0.154</v>
      </c>
      <c r="AF323" s="102">
        <f t="shared" si="570"/>
        <v>0.23469999999999999</v>
      </c>
      <c r="AG323" s="102">
        <f t="shared" si="571"/>
        <v>1.2999999999999999E-2</v>
      </c>
      <c r="AH323" s="109">
        <f t="shared" si="577"/>
        <v>1.4E-2</v>
      </c>
      <c r="AI323" s="110">
        <f t="shared" si="578"/>
        <v>180</v>
      </c>
      <c r="AJ323" s="110">
        <f t="shared" si="579"/>
        <v>60</v>
      </c>
      <c r="AK323" s="108">
        <f t="shared" si="580"/>
        <v>1E-3</v>
      </c>
      <c r="AL323" s="110">
        <f t="shared" si="581"/>
        <v>3</v>
      </c>
      <c r="AM323" s="110">
        <f t="shared" si="582"/>
        <v>1500</v>
      </c>
      <c r="AN323" s="104">
        <f t="shared" si="583"/>
        <v>0.1</v>
      </c>
      <c r="AO323" s="53" t="str">
        <f t="shared" si="503"/>
        <v>NaN</v>
      </c>
    </row>
    <row r="324" spans="1:41" x14ac:dyDescent="0.2">
      <c r="A324" s="194" t="s">
        <v>296</v>
      </c>
      <c r="B324" s="194" t="s">
        <v>296</v>
      </c>
      <c r="C324" s="52">
        <v>2076</v>
      </c>
      <c r="D324" s="105">
        <v>58.553600000000003</v>
      </c>
      <c r="E324" s="109">
        <v>16.837199999999999</v>
      </c>
      <c r="F324" s="110">
        <v>8195</v>
      </c>
      <c r="G324" s="179">
        <v>0</v>
      </c>
      <c r="H324" s="186">
        <v>3</v>
      </c>
      <c r="I324" s="119">
        <f t="shared" ref="I324:K324" si="590">ROUND(I336,3)</f>
        <v>-0.76200000000000001</v>
      </c>
      <c r="J324" s="108">
        <f t="shared" si="590"/>
        <v>0.71299999999999997</v>
      </c>
      <c r="K324" s="108">
        <f t="shared" si="590"/>
        <v>-3.9E-2</v>
      </c>
      <c r="L324" s="109">
        <f t="shared" ref="L324:N324" si="591">ROUND(L336,4)</f>
        <v>0.19980000000000001</v>
      </c>
      <c r="M324" s="109">
        <f t="shared" si="591"/>
        <v>1.2E-2</v>
      </c>
      <c r="N324" s="109">
        <f t="shared" si="591"/>
        <v>1.2999999999999999E-2</v>
      </c>
      <c r="O324" s="110">
        <f t="shared" ref="O324:P324" si="592">ROUND(O336,0)</f>
        <v>180</v>
      </c>
      <c r="P324" s="110">
        <f t="shared" si="592"/>
        <v>60</v>
      </c>
      <c r="Q324" s="108">
        <f t="shared" si="587"/>
        <v>1E-3</v>
      </c>
      <c r="R324" s="110">
        <f t="shared" ref="R324:S324" si="593">ROUND(R336,0)</f>
        <v>3</v>
      </c>
      <c r="S324" s="110">
        <f t="shared" si="593"/>
        <v>1500</v>
      </c>
      <c r="T324" s="108">
        <f t="shared" si="589"/>
        <v>0.1</v>
      </c>
      <c r="U324" s="53" t="s">
        <v>282</v>
      </c>
      <c r="V324" s="105"/>
      <c r="W324" s="52">
        <v>2076</v>
      </c>
      <c r="X324" s="105">
        <v>58.553600000000003</v>
      </c>
      <c r="Y324" s="109">
        <v>16.837199999999999</v>
      </c>
      <c r="Z324" s="110">
        <v>8195</v>
      </c>
      <c r="AA324" s="179">
        <v>0</v>
      </c>
      <c r="AB324" s="110">
        <f t="shared" si="576"/>
        <v>3</v>
      </c>
      <c r="AC324" s="119">
        <f>ROUND(I324+mwreg!$G$35/100,3)</f>
        <v>-0.66400000000000003</v>
      </c>
      <c r="AD324" s="108">
        <f>ROUND(J324+mwreg!$G$35/100,3)</f>
        <v>0.81100000000000005</v>
      </c>
      <c r="AE324" s="108">
        <f>ROUND(K324+mwreg!$G$35/100,3)</f>
        <v>5.8999999999999997E-2</v>
      </c>
      <c r="AF324" s="102">
        <f t="shared" si="570"/>
        <v>0.19980000000000001</v>
      </c>
      <c r="AG324" s="102">
        <f t="shared" si="571"/>
        <v>1.2E-2</v>
      </c>
      <c r="AH324" s="109">
        <f t="shared" si="577"/>
        <v>1.2999999999999999E-2</v>
      </c>
      <c r="AI324" s="110">
        <f t="shared" si="578"/>
        <v>180</v>
      </c>
      <c r="AJ324" s="110">
        <f t="shared" si="579"/>
        <v>60</v>
      </c>
      <c r="AK324" s="108">
        <f t="shared" si="580"/>
        <v>1E-3</v>
      </c>
      <c r="AL324" s="110">
        <f t="shared" si="581"/>
        <v>3</v>
      </c>
      <c r="AM324" s="110">
        <f t="shared" si="582"/>
        <v>1500</v>
      </c>
      <c r="AN324" s="104">
        <f t="shared" si="583"/>
        <v>0.1</v>
      </c>
      <c r="AO324" s="53" t="str">
        <f t="shared" si="503"/>
        <v>NaN</v>
      </c>
    </row>
    <row r="325" spans="1:41" x14ac:dyDescent="0.2">
      <c r="A325" s="194" t="s">
        <v>296</v>
      </c>
      <c r="B325" s="194" t="s">
        <v>296</v>
      </c>
      <c r="C325" s="52">
        <v>2076</v>
      </c>
      <c r="D325" s="105">
        <v>58.553600000000003</v>
      </c>
      <c r="E325" s="109">
        <v>16.837199999999999</v>
      </c>
      <c r="F325" s="110">
        <v>8195</v>
      </c>
      <c r="G325" s="179">
        <v>0</v>
      </c>
      <c r="H325" s="186">
        <v>4</v>
      </c>
      <c r="I325" s="119">
        <f t="shared" ref="I325:K325" si="594">ROUND(I337,3)</f>
        <v>-0.502</v>
      </c>
      <c r="J325" s="108">
        <f t="shared" si="594"/>
        <v>0.47499999999999998</v>
      </c>
      <c r="K325" s="108">
        <f t="shared" si="594"/>
        <v>-5.6000000000000001E-2</v>
      </c>
      <c r="L325" s="109">
        <f t="shared" ref="L325:N325" si="595">ROUND(L337,4)</f>
        <v>0.14399999999999999</v>
      </c>
      <c r="M325" s="109">
        <f t="shared" si="595"/>
        <v>1.2E-2</v>
      </c>
      <c r="N325" s="109">
        <f t="shared" si="595"/>
        <v>1.2999999999999999E-2</v>
      </c>
      <c r="O325" s="110">
        <f t="shared" ref="O325:P325" si="596">ROUND(O337,0)</f>
        <v>180</v>
      </c>
      <c r="P325" s="110">
        <f t="shared" si="596"/>
        <v>60</v>
      </c>
      <c r="Q325" s="108">
        <f t="shared" si="587"/>
        <v>1E-3</v>
      </c>
      <c r="R325" s="110">
        <f t="shared" ref="R325:S325" si="597">ROUND(R337,0)</f>
        <v>3</v>
      </c>
      <c r="S325" s="110">
        <f t="shared" si="597"/>
        <v>1500</v>
      </c>
      <c r="T325" s="108">
        <f t="shared" si="589"/>
        <v>0.1</v>
      </c>
      <c r="U325" s="53" t="s">
        <v>282</v>
      </c>
      <c r="V325" s="105"/>
      <c r="W325" s="52">
        <v>2076</v>
      </c>
      <c r="X325" s="105">
        <v>58.553600000000003</v>
      </c>
      <c r="Y325" s="109">
        <v>16.837199999999999</v>
      </c>
      <c r="Z325" s="110">
        <v>8195</v>
      </c>
      <c r="AA325" s="179">
        <v>0</v>
      </c>
      <c r="AB325" s="110">
        <f t="shared" si="576"/>
        <v>4</v>
      </c>
      <c r="AC325" s="119">
        <f>ROUND(I325+mwreg!$G$35/100,3)</f>
        <v>-0.40400000000000003</v>
      </c>
      <c r="AD325" s="108">
        <f>ROUND(J325+mwreg!$G$35/100,3)</f>
        <v>0.57299999999999995</v>
      </c>
      <c r="AE325" s="108">
        <f>ROUND(K325+mwreg!$G$35/100,3)</f>
        <v>4.2000000000000003E-2</v>
      </c>
      <c r="AF325" s="102">
        <f t="shared" si="570"/>
        <v>0.14399999999999999</v>
      </c>
      <c r="AG325" s="102">
        <f t="shared" si="571"/>
        <v>1.2E-2</v>
      </c>
      <c r="AH325" s="109">
        <f t="shared" si="577"/>
        <v>1.2999999999999999E-2</v>
      </c>
      <c r="AI325" s="110">
        <f t="shared" si="578"/>
        <v>180</v>
      </c>
      <c r="AJ325" s="110">
        <f t="shared" si="579"/>
        <v>60</v>
      </c>
      <c r="AK325" s="108">
        <f t="shared" si="580"/>
        <v>1E-3</v>
      </c>
      <c r="AL325" s="110">
        <f t="shared" si="581"/>
        <v>3</v>
      </c>
      <c r="AM325" s="110">
        <f t="shared" si="582"/>
        <v>1500</v>
      </c>
      <c r="AN325" s="104">
        <f t="shared" si="583"/>
        <v>0.1</v>
      </c>
      <c r="AO325" s="53" t="str">
        <f t="shared" si="503"/>
        <v>NaN</v>
      </c>
    </row>
    <row r="326" spans="1:41" x14ac:dyDescent="0.2">
      <c r="A326" s="194" t="s">
        <v>296</v>
      </c>
      <c r="B326" s="194" t="s">
        <v>296</v>
      </c>
      <c r="C326" s="52">
        <v>2076</v>
      </c>
      <c r="D326" s="105">
        <v>58.553600000000003</v>
      </c>
      <c r="E326" s="109">
        <v>16.837199999999999</v>
      </c>
      <c r="F326" s="110">
        <v>8195</v>
      </c>
      <c r="G326" s="179">
        <v>0</v>
      </c>
      <c r="H326" s="186">
        <v>5</v>
      </c>
      <c r="I326" s="119">
        <f t="shared" ref="I326:K326" si="598">ROUND(I338,3)</f>
        <v>-0.47699999999999998</v>
      </c>
      <c r="J326" s="108">
        <f t="shared" si="598"/>
        <v>0.27900000000000003</v>
      </c>
      <c r="K326" s="108">
        <f t="shared" si="598"/>
        <v>-6.4000000000000001E-2</v>
      </c>
      <c r="L326" s="109">
        <f t="shared" ref="L326:N326" si="599">ROUND(L338,4)</f>
        <v>0.10879999999999999</v>
      </c>
      <c r="M326" s="109">
        <f t="shared" si="599"/>
        <v>1.4999999999999999E-2</v>
      </c>
      <c r="N326" s="109">
        <f t="shared" si="599"/>
        <v>1.6E-2</v>
      </c>
      <c r="O326" s="110">
        <f t="shared" ref="O326:P326" si="600">ROUND(O338,0)</f>
        <v>180</v>
      </c>
      <c r="P326" s="110">
        <f t="shared" si="600"/>
        <v>60</v>
      </c>
      <c r="Q326" s="108">
        <f t="shared" si="587"/>
        <v>1E-3</v>
      </c>
      <c r="R326" s="110">
        <f t="shared" ref="R326:S326" si="601">ROUND(R338,0)</f>
        <v>3</v>
      </c>
      <c r="S326" s="110">
        <f t="shared" si="601"/>
        <v>1500</v>
      </c>
      <c r="T326" s="108">
        <f t="shared" si="589"/>
        <v>0.1</v>
      </c>
      <c r="U326" s="53" t="s">
        <v>282</v>
      </c>
      <c r="V326" s="105"/>
      <c r="W326" s="52">
        <v>2076</v>
      </c>
      <c r="X326" s="105">
        <v>58.553600000000003</v>
      </c>
      <c r="Y326" s="109">
        <v>16.837199999999999</v>
      </c>
      <c r="Z326" s="110">
        <v>8195</v>
      </c>
      <c r="AA326" s="179">
        <v>0</v>
      </c>
      <c r="AB326" s="110">
        <f t="shared" si="576"/>
        <v>5</v>
      </c>
      <c r="AC326" s="119">
        <f>ROUND(I326+mwreg!$G$35/100,3)</f>
        <v>-0.379</v>
      </c>
      <c r="AD326" s="108">
        <f>ROUND(J326+mwreg!$G$35/100,3)</f>
        <v>0.377</v>
      </c>
      <c r="AE326" s="108">
        <f>ROUND(K326+mwreg!$G$35/100,3)</f>
        <v>3.4000000000000002E-2</v>
      </c>
      <c r="AF326" s="102">
        <f t="shared" si="570"/>
        <v>0.10879999999999999</v>
      </c>
      <c r="AG326" s="102">
        <f t="shared" si="571"/>
        <v>1.4999999999999999E-2</v>
      </c>
      <c r="AH326" s="109">
        <f t="shared" si="577"/>
        <v>1.6E-2</v>
      </c>
      <c r="AI326" s="110">
        <f t="shared" si="578"/>
        <v>180</v>
      </c>
      <c r="AJ326" s="110">
        <f t="shared" si="579"/>
        <v>60</v>
      </c>
      <c r="AK326" s="108">
        <f t="shared" si="580"/>
        <v>1E-3</v>
      </c>
      <c r="AL326" s="110">
        <f t="shared" si="581"/>
        <v>3</v>
      </c>
      <c r="AM326" s="110">
        <f t="shared" si="582"/>
        <v>1500</v>
      </c>
      <c r="AN326" s="104">
        <f t="shared" si="583"/>
        <v>0.1</v>
      </c>
      <c r="AO326" s="53" t="str">
        <f t="shared" si="503"/>
        <v>NaN</v>
      </c>
    </row>
    <row r="327" spans="1:41" x14ac:dyDescent="0.2">
      <c r="A327" s="194" t="s">
        <v>296</v>
      </c>
      <c r="B327" s="194" t="s">
        <v>296</v>
      </c>
      <c r="C327" s="52">
        <v>2076</v>
      </c>
      <c r="D327" s="105">
        <v>58.553600000000003</v>
      </c>
      <c r="E327" s="109">
        <v>16.837199999999999</v>
      </c>
      <c r="F327" s="110">
        <v>8195</v>
      </c>
      <c r="G327" s="179">
        <v>0</v>
      </c>
      <c r="H327" s="186">
        <v>6</v>
      </c>
      <c r="I327" s="119">
        <f t="shared" ref="I327:K327" si="602">ROUND(I339,3)</f>
        <v>-0.41899999999999998</v>
      </c>
      <c r="J327" s="108">
        <f t="shared" si="602"/>
        <v>0.42499999999999999</v>
      </c>
      <c r="K327" s="108">
        <f t="shared" si="602"/>
        <v>-3.2000000000000001E-2</v>
      </c>
      <c r="L327" s="109">
        <f t="shared" ref="L327:N327" si="603">ROUND(L339,4)</f>
        <v>0.12180000000000001</v>
      </c>
      <c r="M327" s="109">
        <f t="shared" si="603"/>
        <v>1.0999999999999999E-2</v>
      </c>
      <c r="N327" s="109">
        <f t="shared" si="603"/>
        <v>1.2E-2</v>
      </c>
      <c r="O327" s="110">
        <f t="shared" ref="O327:P327" si="604">ROUND(O339,0)</f>
        <v>180</v>
      </c>
      <c r="P327" s="110">
        <f t="shared" si="604"/>
        <v>60</v>
      </c>
      <c r="Q327" s="108">
        <f t="shared" si="587"/>
        <v>1E-3</v>
      </c>
      <c r="R327" s="110">
        <f t="shared" ref="R327:S327" si="605">ROUND(R339,0)</f>
        <v>3</v>
      </c>
      <c r="S327" s="110">
        <f t="shared" si="605"/>
        <v>1500</v>
      </c>
      <c r="T327" s="108">
        <f t="shared" si="589"/>
        <v>0.1</v>
      </c>
      <c r="U327" s="53" t="s">
        <v>282</v>
      </c>
      <c r="V327" s="105"/>
      <c r="W327" s="52">
        <v>2076</v>
      </c>
      <c r="X327" s="105">
        <v>58.553600000000003</v>
      </c>
      <c r="Y327" s="109">
        <v>16.837199999999999</v>
      </c>
      <c r="Z327" s="110">
        <v>8195</v>
      </c>
      <c r="AA327" s="179">
        <v>0</v>
      </c>
      <c r="AB327" s="110">
        <f t="shared" si="576"/>
        <v>6</v>
      </c>
      <c r="AC327" s="119">
        <f>ROUND(I327+mwreg!$G$35/100,3)</f>
        <v>-0.32100000000000001</v>
      </c>
      <c r="AD327" s="108">
        <f>ROUND(J327+mwreg!$G$35/100,3)</f>
        <v>0.52300000000000002</v>
      </c>
      <c r="AE327" s="108">
        <f>ROUND(K327+mwreg!$G$35/100,3)</f>
        <v>6.6000000000000003E-2</v>
      </c>
      <c r="AF327" s="102">
        <f t="shared" si="570"/>
        <v>0.12180000000000001</v>
      </c>
      <c r="AG327" s="102">
        <f t="shared" si="571"/>
        <v>1.0999999999999999E-2</v>
      </c>
      <c r="AH327" s="109">
        <f t="shared" si="577"/>
        <v>1.2E-2</v>
      </c>
      <c r="AI327" s="110">
        <f t="shared" si="578"/>
        <v>180</v>
      </c>
      <c r="AJ327" s="110">
        <f t="shared" si="579"/>
        <v>60</v>
      </c>
      <c r="AK327" s="108">
        <f t="shared" si="580"/>
        <v>1E-3</v>
      </c>
      <c r="AL327" s="110">
        <f t="shared" si="581"/>
        <v>3</v>
      </c>
      <c r="AM327" s="110">
        <f t="shared" si="582"/>
        <v>1500</v>
      </c>
      <c r="AN327" s="104">
        <f t="shared" si="583"/>
        <v>0.1</v>
      </c>
      <c r="AO327" s="53" t="str">
        <f t="shared" si="503"/>
        <v>NaN</v>
      </c>
    </row>
    <row r="328" spans="1:41" x14ac:dyDescent="0.2">
      <c r="A328" s="194" t="s">
        <v>296</v>
      </c>
      <c r="B328" s="194" t="s">
        <v>296</v>
      </c>
      <c r="C328" s="52">
        <v>2076</v>
      </c>
      <c r="D328" s="105">
        <v>58.553600000000003</v>
      </c>
      <c r="E328" s="109">
        <v>16.837199999999999</v>
      </c>
      <c r="F328" s="110">
        <v>8195</v>
      </c>
      <c r="G328" s="179">
        <v>0</v>
      </c>
      <c r="H328" s="186">
        <v>7</v>
      </c>
      <c r="I328" s="119">
        <f t="shared" ref="I328:K328" si="606">ROUND(I340,3)</f>
        <v>-0.28000000000000003</v>
      </c>
      <c r="J328" s="108">
        <f t="shared" si="606"/>
        <v>0.41299999999999998</v>
      </c>
      <c r="K328" s="108">
        <f t="shared" si="606"/>
        <v>0.05</v>
      </c>
      <c r="L328" s="109">
        <f t="shared" ref="L328:N328" si="607">ROUND(L340,4)</f>
        <v>0.1082</v>
      </c>
      <c r="M328" s="109">
        <f t="shared" si="607"/>
        <v>1.2E-2</v>
      </c>
      <c r="N328" s="109">
        <f t="shared" si="607"/>
        <v>1.2999999999999999E-2</v>
      </c>
      <c r="O328" s="110">
        <f t="shared" ref="O328:P328" si="608">ROUND(O340,0)</f>
        <v>180</v>
      </c>
      <c r="P328" s="110">
        <f t="shared" si="608"/>
        <v>60</v>
      </c>
      <c r="Q328" s="108">
        <f t="shared" si="587"/>
        <v>1E-3</v>
      </c>
      <c r="R328" s="110">
        <f t="shared" ref="R328:S328" si="609">ROUND(R340,0)</f>
        <v>3</v>
      </c>
      <c r="S328" s="110">
        <f t="shared" si="609"/>
        <v>1500</v>
      </c>
      <c r="T328" s="108">
        <f t="shared" si="589"/>
        <v>0.1</v>
      </c>
      <c r="U328" s="53" t="s">
        <v>282</v>
      </c>
      <c r="V328" s="105"/>
      <c r="W328" s="52">
        <v>2076</v>
      </c>
      <c r="X328" s="105">
        <v>58.553600000000003</v>
      </c>
      <c r="Y328" s="109">
        <v>16.837199999999999</v>
      </c>
      <c r="Z328" s="110">
        <v>8195</v>
      </c>
      <c r="AA328" s="179">
        <v>0</v>
      </c>
      <c r="AB328" s="110">
        <f t="shared" si="576"/>
        <v>7</v>
      </c>
      <c r="AC328" s="119">
        <f>ROUND(I328+mwreg!$G$35/100,3)</f>
        <v>-0.182</v>
      </c>
      <c r="AD328" s="108">
        <f>ROUND(J328+mwreg!$G$35/100,3)</f>
        <v>0.51100000000000001</v>
      </c>
      <c r="AE328" s="108">
        <f>ROUND(K328+mwreg!$G$35/100,3)</f>
        <v>0.14799999999999999</v>
      </c>
      <c r="AF328" s="102">
        <f t="shared" si="570"/>
        <v>0.1082</v>
      </c>
      <c r="AG328" s="102">
        <f t="shared" si="571"/>
        <v>1.2E-2</v>
      </c>
      <c r="AH328" s="109">
        <f t="shared" si="577"/>
        <v>1.2999999999999999E-2</v>
      </c>
      <c r="AI328" s="110">
        <f t="shared" si="578"/>
        <v>180</v>
      </c>
      <c r="AJ328" s="110">
        <f t="shared" si="579"/>
        <v>60</v>
      </c>
      <c r="AK328" s="108">
        <f t="shared" si="580"/>
        <v>1E-3</v>
      </c>
      <c r="AL328" s="110">
        <f t="shared" si="581"/>
        <v>3</v>
      </c>
      <c r="AM328" s="110">
        <f t="shared" si="582"/>
        <v>1500</v>
      </c>
      <c r="AN328" s="104">
        <f t="shared" si="583"/>
        <v>0.1</v>
      </c>
      <c r="AO328" s="53" t="str">
        <f t="shared" si="503"/>
        <v>NaN</v>
      </c>
    </row>
    <row r="329" spans="1:41" x14ac:dyDescent="0.2">
      <c r="A329" s="194" t="s">
        <v>296</v>
      </c>
      <c r="B329" s="194" t="s">
        <v>296</v>
      </c>
      <c r="C329" s="52">
        <v>2076</v>
      </c>
      <c r="D329" s="105">
        <v>58.553600000000003</v>
      </c>
      <c r="E329" s="109">
        <v>16.837199999999999</v>
      </c>
      <c r="F329" s="110">
        <v>8195</v>
      </c>
      <c r="G329" s="179">
        <v>0</v>
      </c>
      <c r="H329" s="186">
        <v>8</v>
      </c>
      <c r="I329" s="119">
        <f t="shared" ref="I329:K329" si="610">ROUND(I341,3)</f>
        <v>-0.375</v>
      </c>
      <c r="J329" s="108">
        <f t="shared" si="610"/>
        <v>0.39900000000000002</v>
      </c>
      <c r="K329" s="108">
        <f t="shared" si="610"/>
        <v>1.4E-2</v>
      </c>
      <c r="L329" s="109">
        <f t="shared" ref="L329:N329" si="611">ROUND(L341,4)</f>
        <v>0.10970000000000001</v>
      </c>
      <c r="M329" s="109">
        <f t="shared" si="611"/>
        <v>1.2E-2</v>
      </c>
      <c r="N329" s="109">
        <f t="shared" si="611"/>
        <v>1.2999999999999999E-2</v>
      </c>
      <c r="O329" s="110">
        <f t="shared" ref="O329:P329" si="612">ROUND(O341,0)</f>
        <v>180</v>
      </c>
      <c r="P329" s="110">
        <f t="shared" si="612"/>
        <v>60</v>
      </c>
      <c r="Q329" s="108">
        <f t="shared" si="587"/>
        <v>1E-3</v>
      </c>
      <c r="R329" s="110">
        <f t="shared" ref="R329:S329" si="613">ROUND(R341,0)</f>
        <v>3</v>
      </c>
      <c r="S329" s="110">
        <f t="shared" si="613"/>
        <v>1500</v>
      </c>
      <c r="T329" s="108">
        <f t="shared" si="589"/>
        <v>0.1</v>
      </c>
      <c r="U329" s="53" t="s">
        <v>282</v>
      </c>
      <c r="V329" s="105"/>
      <c r="W329" s="52">
        <v>2076</v>
      </c>
      <c r="X329" s="105">
        <v>58.553600000000003</v>
      </c>
      <c r="Y329" s="109">
        <v>16.837199999999999</v>
      </c>
      <c r="Z329" s="110">
        <v>8195</v>
      </c>
      <c r="AA329" s="179">
        <v>0</v>
      </c>
      <c r="AB329" s="110">
        <f t="shared" si="576"/>
        <v>8</v>
      </c>
      <c r="AC329" s="119">
        <f>ROUND(I329+mwreg!$G$35/100,3)</f>
        <v>-0.27700000000000002</v>
      </c>
      <c r="AD329" s="108">
        <f>ROUND(J329+mwreg!$G$35/100,3)</f>
        <v>0.497</v>
      </c>
      <c r="AE329" s="108">
        <f>ROUND(K329+mwreg!$G$35/100,3)</f>
        <v>0.112</v>
      </c>
      <c r="AF329" s="102">
        <f t="shared" si="570"/>
        <v>0.10970000000000001</v>
      </c>
      <c r="AG329" s="102">
        <f t="shared" si="571"/>
        <v>1.2E-2</v>
      </c>
      <c r="AH329" s="109">
        <f t="shared" si="577"/>
        <v>1.2999999999999999E-2</v>
      </c>
      <c r="AI329" s="110">
        <f t="shared" si="578"/>
        <v>180</v>
      </c>
      <c r="AJ329" s="110">
        <f t="shared" si="579"/>
        <v>60</v>
      </c>
      <c r="AK329" s="108">
        <f t="shared" si="580"/>
        <v>1E-3</v>
      </c>
      <c r="AL329" s="110">
        <f t="shared" si="581"/>
        <v>3</v>
      </c>
      <c r="AM329" s="110">
        <f t="shared" si="582"/>
        <v>1500</v>
      </c>
      <c r="AN329" s="104">
        <f t="shared" si="583"/>
        <v>0.1</v>
      </c>
      <c r="AO329" s="53" t="str">
        <f t="shared" si="503"/>
        <v>NaN</v>
      </c>
    </row>
    <row r="330" spans="1:41" x14ac:dyDescent="0.2">
      <c r="A330" s="194" t="s">
        <v>296</v>
      </c>
      <c r="B330" s="194" t="s">
        <v>296</v>
      </c>
      <c r="C330" s="52">
        <v>2076</v>
      </c>
      <c r="D330" s="105">
        <v>58.553600000000003</v>
      </c>
      <c r="E330" s="109">
        <v>16.837199999999999</v>
      </c>
      <c r="F330" s="110">
        <v>8195</v>
      </c>
      <c r="G330" s="179">
        <v>0</v>
      </c>
      <c r="H330" s="186">
        <v>9</v>
      </c>
      <c r="I330" s="119">
        <f t="shared" ref="I330:K330" si="614">ROUND(I342,3)</f>
        <v>-0.51</v>
      </c>
      <c r="J330" s="108">
        <f t="shared" si="614"/>
        <v>0.51</v>
      </c>
      <c r="K330" s="108">
        <f t="shared" si="614"/>
        <v>3.1E-2</v>
      </c>
      <c r="L330" s="109">
        <f t="shared" ref="L330:N330" si="615">ROUND(L342,4)</f>
        <v>0.1206</v>
      </c>
      <c r="M330" s="109">
        <f t="shared" si="615"/>
        <v>1.0999999999999999E-2</v>
      </c>
      <c r="N330" s="109">
        <f t="shared" si="615"/>
        <v>1.2E-2</v>
      </c>
      <c r="O330" s="110">
        <f t="shared" ref="O330:P330" si="616">ROUND(O342,0)</f>
        <v>180</v>
      </c>
      <c r="P330" s="110">
        <f t="shared" si="616"/>
        <v>60</v>
      </c>
      <c r="Q330" s="108">
        <f t="shared" si="587"/>
        <v>1E-3</v>
      </c>
      <c r="R330" s="110">
        <f t="shared" ref="R330:S330" si="617">ROUND(R342,0)</f>
        <v>3</v>
      </c>
      <c r="S330" s="110">
        <f t="shared" si="617"/>
        <v>1500</v>
      </c>
      <c r="T330" s="108">
        <f t="shared" si="589"/>
        <v>0.1</v>
      </c>
      <c r="U330" s="53" t="s">
        <v>282</v>
      </c>
      <c r="V330" s="105"/>
      <c r="W330" s="52">
        <v>2076</v>
      </c>
      <c r="X330" s="105">
        <v>58.553600000000003</v>
      </c>
      <c r="Y330" s="109">
        <v>16.837199999999999</v>
      </c>
      <c r="Z330" s="110">
        <v>8195</v>
      </c>
      <c r="AA330" s="179">
        <v>0</v>
      </c>
      <c r="AB330" s="110">
        <f t="shared" si="576"/>
        <v>9</v>
      </c>
      <c r="AC330" s="119">
        <f>ROUND(I330+mwreg!$G$35/100,3)</f>
        <v>-0.41199999999999998</v>
      </c>
      <c r="AD330" s="108">
        <f>ROUND(J330+mwreg!$G$35/100,3)</f>
        <v>0.60799999999999998</v>
      </c>
      <c r="AE330" s="108">
        <f>ROUND(K330+mwreg!$G$35/100,3)</f>
        <v>0.129</v>
      </c>
      <c r="AF330" s="102">
        <f t="shared" si="570"/>
        <v>0.1206</v>
      </c>
      <c r="AG330" s="102">
        <f t="shared" si="571"/>
        <v>1.0999999999999999E-2</v>
      </c>
      <c r="AH330" s="109">
        <f t="shared" si="577"/>
        <v>1.2E-2</v>
      </c>
      <c r="AI330" s="110">
        <f t="shared" si="578"/>
        <v>180</v>
      </c>
      <c r="AJ330" s="110">
        <f t="shared" si="579"/>
        <v>60</v>
      </c>
      <c r="AK330" s="108">
        <f t="shared" si="580"/>
        <v>1E-3</v>
      </c>
      <c r="AL330" s="110">
        <f t="shared" si="581"/>
        <v>3</v>
      </c>
      <c r="AM330" s="110">
        <f t="shared" si="582"/>
        <v>1500</v>
      </c>
      <c r="AN330" s="104">
        <f t="shared" si="583"/>
        <v>0.1</v>
      </c>
      <c r="AO330" s="53" t="str">
        <f t="shared" si="503"/>
        <v>NaN</v>
      </c>
    </row>
    <row r="331" spans="1:41" x14ac:dyDescent="0.2">
      <c r="A331" s="194" t="s">
        <v>296</v>
      </c>
      <c r="B331" s="194" t="s">
        <v>296</v>
      </c>
      <c r="C331" s="52">
        <v>2076</v>
      </c>
      <c r="D331" s="105">
        <v>58.553600000000003</v>
      </c>
      <c r="E331" s="109">
        <v>16.837199999999999</v>
      </c>
      <c r="F331" s="110">
        <v>8195</v>
      </c>
      <c r="G331" s="179">
        <v>0</v>
      </c>
      <c r="H331" s="186">
        <v>10</v>
      </c>
      <c r="I331" s="119">
        <f t="shared" ref="I331:K331" si="618">ROUND(I343,3)</f>
        <v>-0.53200000000000003</v>
      </c>
      <c r="J331" s="108">
        <f t="shared" si="618"/>
        <v>0.72499999999999998</v>
      </c>
      <c r="K331" s="108">
        <f t="shared" si="618"/>
        <v>-1.2E-2</v>
      </c>
      <c r="L331" s="109">
        <f t="shared" ref="L331:N331" si="619">ROUND(L343,4)</f>
        <v>0.1704</v>
      </c>
      <c r="M331" s="109">
        <f t="shared" si="619"/>
        <v>1.2E-2</v>
      </c>
      <c r="N331" s="109">
        <f t="shared" si="619"/>
        <v>1.2999999999999999E-2</v>
      </c>
      <c r="O331" s="110">
        <f t="shared" ref="O331:P331" si="620">ROUND(O343,0)</f>
        <v>180</v>
      </c>
      <c r="P331" s="110">
        <f t="shared" si="620"/>
        <v>60</v>
      </c>
      <c r="Q331" s="108">
        <f t="shared" si="587"/>
        <v>1E-3</v>
      </c>
      <c r="R331" s="110">
        <f t="shared" ref="R331:S331" si="621">ROUND(R343,0)</f>
        <v>3</v>
      </c>
      <c r="S331" s="110">
        <f t="shared" si="621"/>
        <v>1500</v>
      </c>
      <c r="T331" s="108">
        <f t="shared" si="589"/>
        <v>0.1</v>
      </c>
      <c r="U331" s="53" t="s">
        <v>282</v>
      </c>
      <c r="V331" s="105"/>
      <c r="W331" s="52">
        <v>2076</v>
      </c>
      <c r="X331" s="105">
        <v>58.553600000000003</v>
      </c>
      <c r="Y331" s="109">
        <v>16.837199999999999</v>
      </c>
      <c r="Z331" s="110">
        <v>8195</v>
      </c>
      <c r="AA331" s="179">
        <v>0</v>
      </c>
      <c r="AB331" s="110">
        <f t="shared" si="576"/>
        <v>10</v>
      </c>
      <c r="AC331" s="119">
        <f>ROUND(I331+mwreg!$G$35/100,3)</f>
        <v>-0.434</v>
      </c>
      <c r="AD331" s="108">
        <f>ROUND(J331+mwreg!$G$35/100,3)</f>
        <v>0.82299999999999995</v>
      </c>
      <c r="AE331" s="108">
        <f>ROUND(K331+mwreg!$G$35/100,3)</f>
        <v>8.5999999999999993E-2</v>
      </c>
      <c r="AF331" s="102">
        <f t="shared" si="570"/>
        <v>0.1704</v>
      </c>
      <c r="AG331" s="102">
        <f t="shared" si="571"/>
        <v>1.2E-2</v>
      </c>
      <c r="AH331" s="109">
        <f t="shared" si="577"/>
        <v>1.2999999999999999E-2</v>
      </c>
      <c r="AI331" s="110">
        <f t="shared" si="578"/>
        <v>180</v>
      </c>
      <c r="AJ331" s="110">
        <f t="shared" si="579"/>
        <v>60</v>
      </c>
      <c r="AK331" s="108">
        <f t="shared" si="580"/>
        <v>1E-3</v>
      </c>
      <c r="AL331" s="110">
        <f t="shared" si="581"/>
        <v>3</v>
      </c>
      <c r="AM331" s="110">
        <f t="shared" si="582"/>
        <v>1500</v>
      </c>
      <c r="AN331" s="104">
        <f t="shared" si="583"/>
        <v>0.1</v>
      </c>
      <c r="AO331" s="53" t="str">
        <f t="shared" si="503"/>
        <v>NaN</v>
      </c>
    </row>
    <row r="332" spans="1:41" x14ac:dyDescent="0.2">
      <c r="A332" s="194" t="s">
        <v>296</v>
      </c>
      <c r="B332" s="194" t="s">
        <v>296</v>
      </c>
      <c r="C332" s="52">
        <v>2076</v>
      </c>
      <c r="D332" s="105">
        <v>58.553600000000003</v>
      </c>
      <c r="E332" s="109">
        <v>16.837199999999999</v>
      </c>
      <c r="F332" s="110">
        <v>8195</v>
      </c>
      <c r="G332" s="179">
        <v>0</v>
      </c>
      <c r="H332" s="186">
        <v>11</v>
      </c>
      <c r="I332" s="119">
        <f t="shared" ref="I332:K332" si="622">ROUND(I344,3)</f>
        <v>-0.59499999999999997</v>
      </c>
      <c r="J332" s="108">
        <f t="shared" si="622"/>
        <v>0.72</v>
      </c>
      <c r="K332" s="108">
        <f t="shared" si="622"/>
        <v>1.9E-2</v>
      </c>
      <c r="L332" s="109">
        <f t="shared" ref="L332:N332" si="623">ROUND(L344,4)</f>
        <v>0.1908</v>
      </c>
      <c r="M332" s="109">
        <f t="shared" si="623"/>
        <v>1.2999999999999999E-2</v>
      </c>
      <c r="N332" s="109">
        <f t="shared" si="623"/>
        <v>1.4999999999999999E-2</v>
      </c>
      <c r="O332" s="110">
        <f t="shared" ref="O332:P332" si="624">ROUND(O344,0)</f>
        <v>180</v>
      </c>
      <c r="P332" s="110">
        <f t="shared" si="624"/>
        <v>60</v>
      </c>
      <c r="Q332" s="108">
        <f t="shared" si="587"/>
        <v>1E-3</v>
      </c>
      <c r="R332" s="110">
        <f t="shared" ref="R332:S332" si="625">ROUND(R344,0)</f>
        <v>3</v>
      </c>
      <c r="S332" s="110">
        <f t="shared" si="625"/>
        <v>1500</v>
      </c>
      <c r="T332" s="108">
        <f t="shared" si="589"/>
        <v>0.1</v>
      </c>
      <c r="U332" s="53" t="s">
        <v>282</v>
      </c>
      <c r="V332" s="105"/>
      <c r="W332" s="52">
        <v>2076</v>
      </c>
      <c r="X332" s="105">
        <v>58.553600000000003</v>
      </c>
      <c r="Y332" s="109">
        <v>16.837199999999999</v>
      </c>
      <c r="Z332" s="110">
        <v>8195</v>
      </c>
      <c r="AA332" s="179">
        <v>0</v>
      </c>
      <c r="AB332" s="110">
        <f t="shared" si="576"/>
        <v>11</v>
      </c>
      <c r="AC332" s="119">
        <f>ROUND(I332+mwreg!$G$35/100,3)</f>
        <v>-0.497</v>
      </c>
      <c r="AD332" s="108">
        <f>ROUND(J332+mwreg!$G$35/100,3)</f>
        <v>0.81799999999999995</v>
      </c>
      <c r="AE332" s="108">
        <f>ROUND(K332+mwreg!$G$35/100,3)</f>
        <v>0.11700000000000001</v>
      </c>
      <c r="AF332" s="102">
        <f t="shared" si="570"/>
        <v>0.1908</v>
      </c>
      <c r="AG332" s="102">
        <f t="shared" si="571"/>
        <v>1.2999999999999999E-2</v>
      </c>
      <c r="AH332" s="109">
        <f t="shared" si="577"/>
        <v>1.4999999999999999E-2</v>
      </c>
      <c r="AI332" s="110">
        <f t="shared" si="578"/>
        <v>180</v>
      </c>
      <c r="AJ332" s="110">
        <f t="shared" si="579"/>
        <v>60</v>
      </c>
      <c r="AK332" s="108">
        <f t="shared" si="580"/>
        <v>1E-3</v>
      </c>
      <c r="AL332" s="110">
        <f t="shared" si="581"/>
        <v>3</v>
      </c>
      <c r="AM332" s="110">
        <f t="shared" si="582"/>
        <v>1500</v>
      </c>
      <c r="AN332" s="104">
        <f t="shared" si="583"/>
        <v>0.1</v>
      </c>
      <c r="AO332" s="53" t="str">
        <f t="shared" si="503"/>
        <v>NaN</v>
      </c>
    </row>
    <row r="333" spans="1:41" x14ac:dyDescent="0.2">
      <c r="A333" s="194" t="s">
        <v>296</v>
      </c>
      <c r="B333" s="194" t="s">
        <v>296</v>
      </c>
      <c r="C333" s="52">
        <v>2076</v>
      </c>
      <c r="D333" s="105">
        <v>58.553600000000003</v>
      </c>
      <c r="E333" s="109">
        <v>16.837199999999999</v>
      </c>
      <c r="F333" s="110">
        <v>8195</v>
      </c>
      <c r="G333" s="179">
        <v>0</v>
      </c>
      <c r="H333" s="186">
        <v>12</v>
      </c>
      <c r="I333" s="119">
        <f t="shared" ref="I333:K333" si="626">ROUND(I345,3)</f>
        <v>-0.60699999999999998</v>
      </c>
      <c r="J333" s="108">
        <f t="shared" si="626"/>
        <v>0.67</v>
      </c>
      <c r="K333" s="108">
        <f t="shared" si="626"/>
        <v>0.14099999999999999</v>
      </c>
      <c r="L333" s="109">
        <f t="shared" ref="L333:N333" si="627">ROUND(L345,4)</f>
        <v>0.2291</v>
      </c>
      <c r="M333" s="109">
        <f t="shared" si="627"/>
        <v>1.7000000000000001E-2</v>
      </c>
      <c r="N333" s="109">
        <f t="shared" si="627"/>
        <v>1.9E-2</v>
      </c>
      <c r="O333" s="110">
        <f t="shared" ref="O333:P333" si="628">ROUND(O345,0)</f>
        <v>180</v>
      </c>
      <c r="P333" s="110">
        <f t="shared" si="628"/>
        <v>60</v>
      </c>
      <c r="Q333" s="108">
        <f t="shared" si="587"/>
        <v>1E-3</v>
      </c>
      <c r="R333" s="110">
        <f t="shared" ref="R333:S333" si="629">ROUND(R345,0)</f>
        <v>3</v>
      </c>
      <c r="S333" s="110">
        <f t="shared" si="629"/>
        <v>1500</v>
      </c>
      <c r="T333" s="108">
        <f t="shared" si="589"/>
        <v>0.1</v>
      </c>
      <c r="U333" s="53" t="s">
        <v>282</v>
      </c>
      <c r="V333" s="105"/>
      <c r="W333" s="52">
        <v>2076</v>
      </c>
      <c r="X333" s="105">
        <v>58.553600000000003</v>
      </c>
      <c r="Y333" s="109">
        <v>16.837199999999999</v>
      </c>
      <c r="Z333" s="110">
        <v>8195</v>
      </c>
      <c r="AA333" s="179">
        <v>0</v>
      </c>
      <c r="AB333" s="110">
        <f t="shared" si="576"/>
        <v>12</v>
      </c>
      <c r="AC333" s="119">
        <f>ROUND(I333+mwreg!$G$35/100,3)</f>
        <v>-0.50900000000000001</v>
      </c>
      <c r="AD333" s="108">
        <f>ROUND(J333+mwreg!$G$35/100,3)</f>
        <v>0.76800000000000002</v>
      </c>
      <c r="AE333" s="108">
        <f>ROUND(K333+mwreg!$G$35/100,3)</f>
        <v>0.23899999999999999</v>
      </c>
      <c r="AF333" s="102">
        <f t="shared" si="570"/>
        <v>0.2291</v>
      </c>
      <c r="AG333" s="102">
        <f t="shared" si="571"/>
        <v>1.7000000000000001E-2</v>
      </c>
      <c r="AH333" s="109">
        <f t="shared" si="577"/>
        <v>1.9E-2</v>
      </c>
      <c r="AI333" s="110">
        <f t="shared" si="578"/>
        <v>180</v>
      </c>
      <c r="AJ333" s="110">
        <f t="shared" si="579"/>
        <v>60</v>
      </c>
      <c r="AK333" s="108">
        <f t="shared" si="580"/>
        <v>1E-3</v>
      </c>
      <c r="AL333" s="110">
        <f t="shared" si="581"/>
        <v>3</v>
      </c>
      <c r="AM333" s="110">
        <f t="shared" si="582"/>
        <v>1500</v>
      </c>
      <c r="AN333" s="104">
        <f t="shared" si="583"/>
        <v>0.1</v>
      </c>
      <c r="AO333" s="53" t="str">
        <f t="shared" si="503"/>
        <v>NaN</v>
      </c>
    </row>
    <row r="334" spans="1:41" x14ac:dyDescent="0.2">
      <c r="A334" s="3" t="str">
        <f>stat_uppg!A36</f>
        <v>2545/33085</v>
      </c>
      <c r="B334" s="3" t="str">
        <f>stat_uppg!B36</f>
        <v>ARKÖ (SMHI)</v>
      </c>
      <c r="C334" s="55">
        <v>2545</v>
      </c>
      <c r="D334" s="79">
        <v>58.484200000000001</v>
      </c>
      <c r="E334" s="84">
        <v>16.960599999999999</v>
      </c>
      <c r="F334" s="82">
        <v>8195</v>
      </c>
      <c r="G334" s="107">
        <v>0</v>
      </c>
      <c r="H334" s="188">
        <v>1</v>
      </c>
      <c r="I334" s="118">
        <v>-0.64200000000000002</v>
      </c>
      <c r="J334" s="83">
        <v>0.94499999999999995</v>
      </c>
      <c r="K334" s="83">
        <v>0.14299999999999999</v>
      </c>
      <c r="L334" s="84">
        <v>0.21640000000000001</v>
      </c>
      <c r="M334" s="84">
        <v>1.2E-2</v>
      </c>
      <c r="N334" s="84">
        <v>1.2999999999999999E-2</v>
      </c>
      <c r="O334" s="82">
        <v>180</v>
      </c>
      <c r="P334" s="82">
        <v>60</v>
      </c>
      <c r="Q334" s="83">
        <v>1E-3</v>
      </c>
      <c r="R334" s="82">
        <v>3</v>
      </c>
      <c r="S334" s="82">
        <v>1500</v>
      </c>
      <c r="T334" s="11">
        <v>0.1</v>
      </c>
      <c r="U334" s="122">
        <v>359347</v>
      </c>
      <c r="V334" s="22"/>
      <c r="W334" s="55">
        <f t="shared" ref="W334:W385" si="630">C334</f>
        <v>2545</v>
      </c>
      <c r="X334" s="79">
        <f t="shared" ref="X334:X385" si="631">D334</f>
        <v>58.484200000000001</v>
      </c>
      <c r="Y334" s="79">
        <f t="shared" ref="Y334:Y385" si="632">E334</f>
        <v>16.960599999999999</v>
      </c>
      <c r="Z334" s="14">
        <f t="shared" ref="Z334:Z385" si="633">F334</f>
        <v>8195</v>
      </c>
      <c r="AA334" s="10">
        <f t="shared" ref="AA334:AA385" si="634">G334</f>
        <v>0</v>
      </c>
      <c r="AB334" s="14">
        <f t="shared" si="576"/>
        <v>1</v>
      </c>
      <c r="AC334" s="118">
        <f>ROUND(I334+mwreg!$G$36/100,3)</f>
        <v>-0.54400000000000004</v>
      </c>
      <c r="AD334" s="83">
        <f>ROUND(J334+mwreg!$G$36/100,3)</f>
        <v>1.0429999999999999</v>
      </c>
      <c r="AE334" s="83">
        <f>ROUND(K334+mwreg!$G$36/100,3)</f>
        <v>0.24099999999999999</v>
      </c>
      <c r="AF334" s="100">
        <f t="shared" si="570"/>
        <v>0.21640000000000001</v>
      </c>
      <c r="AG334" s="100">
        <f t="shared" si="571"/>
        <v>1.2E-2</v>
      </c>
      <c r="AH334" s="84">
        <f t="shared" si="577"/>
        <v>1.2999999999999999E-2</v>
      </c>
      <c r="AI334" s="82">
        <f t="shared" si="578"/>
        <v>180</v>
      </c>
      <c r="AJ334" s="82">
        <f t="shared" si="579"/>
        <v>60</v>
      </c>
      <c r="AK334" s="83">
        <f t="shared" si="580"/>
        <v>1E-3</v>
      </c>
      <c r="AL334" s="82">
        <f t="shared" si="581"/>
        <v>3</v>
      </c>
      <c r="AM334" s="82">
        <f t="shared" si="582"/>
        <v>1500</v>
      </c>
      <c r="AN334" s="11">
        <f t="shared" si="583"/>
        <v>0.1</v>
      </c>
      <c r="AO334" s="188">
        <f t="shared" si="503"/>
        <v>359347</v>
      </c>
    </row>
    <row r="335" spans="1:41" x14ac:dyDescent="0.2">
      <c r="A335" s="3" t="s">
        <v>296</v>
      </c>
      <c r="B335" s="3" t="s">
        <v>296</v>
      </c>
      <c r="C335" s="55">
        <v>2545</v>
      </c>
      <c r="D335" s="79">
        <v>58.484200000000001</v>
      </c>
      <c r="E335" s="84">
        <v>16.960599999999999</v>
      </c>
      <c r="F335" s="82">
        <v>8195</v>
      </c>
      <c r="G335" s="107">
        <v>0</v>
      </c>
      <c r="H335" s="188">
        <v>2</v>
      </c>
      <c r="I335" s="118">
        <v>-0.65200000000000002</v>
      </c>
      <c r="J335" s="83">
        <v>0.94399999999999995</v>
      </c>
      <c r="K335" s="83">
        <v>5.6000000000000001E-2</v>
      </c>
      <c r="L335" s="84">
        <v>0.23469999999999999</v>
      </c>
      <c r="M335" s="84">
        <v>1.2999999999999999E-2</v>
      </c>
      <c r="N335" s="84">
        <v>1.4E-2</v>
      </c>
      <c r="O335" s="82">
        <v>180</v>
      </c>
      <c r="P335" s="82">
        <v>60</v>
      </c>
      <c r="Q335" s="83">
        <v>1E-3</v>
      </c>
      <c r="R335" s="82">
        <v>3</v>
      </c>
      <c r="S335" s="82">
        <v>1500</v>
      </c>
      <c r="T335" s="11">
        <v>0.1</v>
      </c>
      <c r="U335" s="122">
        <v>328042</v>
      </c>
      <c r="V335" s="22"/>
      <c r="W335" s="55">
        <f t="shared" si="630"/>
        <v>2545</v>
      </c>
      <c r="X335" s="79">
        <f t="shared" si="631"/>
        <v>58.484200000000001</v>
      </c>
      <c r="Y335" s="79">
        <f t="shared" si="632"/>
        <v>16.960599999999999</v>
      </c>
      <c r="Z335" s="14">
        <f t="shared" si="633"/>
        <v>8195</v>
      </c>
      <c r="AA335" s="10">
        <f t="shared" si="634"/>
        <v>0</v>
      </c>
      <c r="AB335" s="14">
        <f t="shared" si="576"/>
        <v>2</v>
      </c>
      <c r="AC335" s="118">
        <f>ROUND(I335+mwreg!$G$36/100,3)</f>
        <v>-0.55400000000000005</v>
      </c>
      <c r="AD335" s="83">
        <f>ROUND(J335+mwreg!$G$36/100,3)</f>
        <v>1.042</v>
      </c>
      <c r="AE335" s="83">
        <f>ROUND(K335+mwreg!$G$36/100,3)</f>
        <v>0.154</v>
      </c>
      <c r="AF335" s="100">
        <f t="shared" si="570"/>
        <v>0.23469999999999999</v>
      </c>
      <c r="AG335" s="100">
        <f t="shared" si="571"/>
        <v>1.2999999999999999E-2</v>
      </c>
      <c r="AH335" s="84">
        <f t="shared" si="577"/>
        <v>1.4E-2</v>
      </c>
      <c r="AI335" s="82">
        <f t="shared" si="578"/>
        <v>180</v>
      </c>
      <c r="AJ335" s="82">
        <f t="shared" si="579"/>
        <v>60</v>
      </c>
      <c r="AK335" s="83">
        <f t="shared" si="580"/>
        <v>1E-3</v>
      </c>
      <c r="AL335" s="82">
        <f t="shared" si="581"/>
        <v>3</v>
      </c>
      <c r="AM335" s="82">
        <f t="shared" si="582"/>
        <v>1500</v>
      </c>
      <c r="AN335" s="11">
        <f t="shared" si="583"/>
        <v>0.1</v>
      </c>
      <c r="AO335" s="188">
        <f t="shared" si="503"/>
        <v>328042</v>
      </c>
    </row>
    <row r="336" spans="1:41" x14ac:dyDescent="0.2">
      <c r="A336" s="3" t="s">
        <v>296</v>
      </c>
      <c r="B336" s="3" t="s">
        <v>296</v>
      </c>
      <c r="C336" s="55">
        <v>2545</v>
      </c>
      <c r="D336" s="79">
        <v>58.484200000000001</v>
      </c>
      <c r="E336" s="84">
        <v>16.960599999999999</v>
      </c>
      <c r="F336" s="82">
        <v>8195</v>
      </c>
      <c r="G336" s="107">
        <v>0</v>
      </c>
      <c r="H336" s="188">
        <v>3</v>
      </c>
      <c r="I336" s="118">
        <v>-0.76200000000000001</v>
      </c>
      <c r="J336" s="83">
        <v>0.71299999999999997</v>
      </c>
      <c r="K336" s="83">
        <v>-3.9E-2</v>
      </c>
      <c r="L336" s="84">
        <v>0.19980000000000001</v>
      </c>
      <c r="M336" s="84">
        <v>1.2E-2</v>
      </c>
      <c r="N336" s="84">
        <v>1.2999999999999999E-2</v>
      </c>
      <c r="O336" s="82">
        <v>180</v>
      </c>
      <c r="P336" s="82">
        <v>60</v>
      </c>
      <c r="Q336" s="83">
        <v>1E-3</v>
      </c>
      <c r="R336" s="82">
        <v>3</v>
      </c>
      <c r="S336" s="82">
        <v>1500</v>
      </c>
      <c r="T336" s="11">
        <v>0.1</v>
      </c>
      <c r="U336" s="122">
        <v>357505</v>
      </c>
      <c r="V336" s="22"/>
      <c r="W336" s="55">
        <f t="shared" si="630"/>
        <v>2545</v>
      </c>
      <c r="X336" s="79">
        <f t="shared" si="631"/>
        <v>58.484200000000001</v>
      </c>
      <c r="Y336" s="79">
        <f t="shared" si="632"/>
        <v>16.960599999999999</v>
      </c>
      <c r="Z336" s="14">
        <f t="shared" si="633"/>
        <v>8195</v>
      </c>
      <c r="AA336" s="10">
        <f t="shared" si="634"/>
        <v>0</v>
      </c>
      <c r="AB336" s="14">
        <f t="shared" si="576"/>
        <v>3</v>
      </c>
      <c r="AC336" s="118">
        <f>ROUND(I336+mwreg!$G$36/100,3)</f>
        <v>-0.66400000000000003</v>
      </c>
      <c r="AD336" s="83">
        <f>ROUND(J336+mwreg!$G$36/100,3)</f>
        <v>0.81100000000000005</v>
      </c>
      <c r="AE336" s="83">
        <f>ROUND(K336+mwreg!$G$36/100,3)</f>
        <v>5.8999999999999997E-2</v>
      </c>
      <c r="AF336" s="100">
        <f t="shared" si="570"/>
        <v>0.19980000000000001</v>
      </c>
      <c r="AG336" s="100">
        <f t="shared" si="571"/>
        <v>1.2E-2</v>
      </c>
      <c r="AH336" s="84">
        <f t="shared" si="577"/>
        <v>1.2999999999999999E-2</v>
      </c>
      <c r="AI336" s="82">
        <f t="shared" si="578"/>
        <v>180</v>
      </c>
      <c r="AJ336" s="82">
        <f t="shared" si="579"/>
        <v>60</v>
      </c>
      <c r="AK336" s="83">
        <f t="shared" si="580"/>
        <v>1E-3</v>
      </c>
      <c r="AL336" s="82">
        <f t="shared" si="581"/>
        <v>3</v>
      </c>
      <c r="AM336" s="82">
        <f t="shared" si="582"/>
        <v>1500</v>
      </c>
      <c r="AN336" s="11">
        <f t="shared" si="583"/>
        <v>0.1</v>
      </c>
      <c r="AO336" s="188">
        <f t="shared" si="503"/>
        <v>357505</v>
      </c>
    </row>
    <row r="337" spans="1:41" x14ac:dyDescent="0.2">
      <c r="A337" s="3" t="s">
        <v>296</v>
      </c>
      <c r="B337" s="3" t="s">
        <v>296</v>
      </c>
      <c r="C337" s="55">
        <v>2545</v>
      </c>
      <c r="D337" s="79">
        <v>58.484200000000001</v>
      </c>
      <c r="E337" s="84">
        <v>16.960599999999999</v>
      </c>
      <c r="F337" s="82">
        <v>8195</v>
      </c>
      <c r="G337" s="107">
        <v>0</v>
      </c>
      <c r="H337" s="188">
        <v>4</v>
      </c>
      <c r="I337" s="118">
        <v>-0.502</v>
      </c>
      <c r="J337" s="83">
        <v>0.47499999999999998</v>
      </c>
      <c r="K337" s="83">
        <v>-5.6000000000000001E-2</v>
      </c>
      <c r="L337" s="84">
        <v>0.14399999999999999</v>
      </c>
      <c r="M337" s="84">
        <v>1.2E-2</v>
      </c>
      <c r="N337" s="84">
        <v>1.2999999999999999E-2</v>
      </c>
      <c r="O337" s="82">
        <v>180</v>
      </c>
      <c r="P337" s="82">
        <v>60</v>
      </c>
      <c r="Q337" s="83">
        <v>1E-3</v>
      </c>
      <c r="R337" s="82">
        <v>3</v>
      </c>
      <c r="S337" s="82">
        <v>1500</v>
      </c>
      <c r="T337" s="11">
        <v>0.1</v>
      </c>
      <c r="U337" s="122">
        <v>338774</v>
      </c>
      <c r="V337" s="22"/>
      <c r="W337" s="55">
        <f t="shared" si="630"/>
        <v>2545</v>
      </c>
      <c r="X337" s="79">
        <f t="shared" si="631"/>
        <v>58.484200000000001</v>
      </c>
      <c r="Y337" s="79">
        <f t="shared" si="632"/>
        <v>16.960599999999999</v>
      </c>
      <c r="Z337" s="14">
        <f t="shared" si="633"/>
        <v>8195</v>
      </c>
      <c r="AA337" s="10">
        <f t="shared" si="634"/>
        <v>0</v>
      </c>
      <c r="AB337" s="14">
        <f t="shared" si="576"/>
        <v>4</v>
      </c>
      <c r="AC337" s="118">
        <f>ROUND(I337+mwreg!$G$36/100,3)</f>
        <v>-0.40400000000000003</v>
      </c>
      <c r="AD337" s="83">
        <f>ROUND(J337+mwreg!$G$36/100,3)</f>
        <v>0.57299999999999995</v>
      </c>
      <c r="AE337" s="83">
        <f>ROUND(K337+mwreg!$G$36/100,3)</f>
        <v>4.2000000000000003E-2</v>
      </c>
      <c r="AF337" s="100">
        <f t="shared" si="570"/>
        <v>0.14399999999999999</v>
      </c>
      <c r="AG337" s="100">
        <f t="shared" si="571"/>
        <v>1.2E-2</v>
      </c>
      <c r="AH337" s="84">
        <f t="shared" si="577"/>
        <v>1.2999999999999999E-2</v>
      </c>
      <c r="AI337" s="82">
        <f t="shared" si="578"/>
        <v>180</v>
      </c>
      <c r="AJ337" s="82">
        <f t="shared" si="579"/>
        <v>60</v>
      </c>
      <c r="AK337" s="83">
        <f t="shared" si="580"/>
        <v>1E-3</v>
      </c>
      <c r="AL337" s="82">
        <f t="shared" si="581"/>
        <v>3</v>
      </c>
      <c r="AM337" s="82">
        <f t="shared" si="582"/>
        <v>1500</v>
      </c>
      <c r="AN337" s="11">
        <f t="shared" si="583"/>
        <v>0.1</v>
      </c>
      <c r="AO337" s="188">
        <f t="shared" si="503"/>
        <v>338774</v>
      </c>
    </row>
    <row r="338" spans="1:41" x14ac:dyDescent="0.2">
      <c r="A338" s="3" t="s">
        <v>296</v>
      </c>
      <c r="B338" s="3" t="s">
        <v>296</v>
      </c>
      <c r="C338" s="55">
        <v>2545</v>
      </c>
      <c r="D338" s="79">
        <v>58.484200000000001</v>
      </c>
      <c r="E338" s="84">
        <v>16.960599999999999</v>
      </c>
      <c r="F338" s="82">
        <v>8195</v>
      </c>
      <c r="G338" s="107">
        <v>0</v>
      </c>
      <c r="H338" s="188">
        <v>5</v>
      </c>
      <c r="I338" s="118">
        <v>-0.47699999999999998</v>
      </c>
      <c r="J338" s="83">
        <v>0.27900000000000003</v>
      </c>
      <c r="K338" s="83">
        <v>-6.4000000000000001E-2</v>
      </c>
      <c r="L338" s="84">
        <v>0.10879999999999999</v>
      </c>
      <c r="M338" s="84">
        <v>1.4999999999999999E-2</v>
      </c>
      <c r="N338" s="84">
        <v>1.6E-2</v>
      </c>
      <c r="O338" s="82">
        <v>180</v>
      </c>
      <c r="P338" s="82">
        <v>60</v>
      </c>
      <c r="Q338" s="83">
        <v>1E-3</v>
      </c>
      <c r="R338" s="82">
        <v>3</v>
      </c>
      <c r="S338" s="82">
        <v>1500</v>
      </c>
      <c r="T338" s="11">
        <v>0.1</v>
      </c>
      <c r="U338" s="122">
        <v>348587</v>
      </c>
      <c r="V338" s="22"/>
      <c r="W338" s="55">
        <f t="shared" si="630"/>
        <v>2545</v>
      </c>
      <c r="X338" s="79">
        <f t="shared" si="631"/>
        <v>58.484200000000001</v>
      </c>
      <c r="Y338" s="79">
        <f t="shared" si="632"/>
        <v>16.960599999999999</v>
      </c>
      <c r="Z338" s="14">
        <f t="shared" si="633"/>
        <v>8195</v>
      </c>
      <c r="AA338" s="10">
        <f t="shared" si="634"/>
        <v>0</v>
      </c>
      <c r="AB338" s="14">
        <f t="shared" si="576"/>
        <v>5</v>
      </c>
      <c r="AC338" s="118">
        <f>ROUND(I338+mwreg!$G$36/100,3)</f>
        <v>-0.379</v>
      </c>
      <c r="AD338" s="83">
        <f>ROUND(J338+mwreg!$G$36/100,3)</f>
        <v>0.377</v>
      </c>
      <c r="AE338" s="83">
        <f>ROUND(K338+mwreg!$G$36/100,3)</f>
        <v>3.4000000000000002E-2</v>
      </c>
      <c r="AF338" s="100">
        <f t="shared" si="570"/>
        <v>0.10879999999999999</v>
      </c>
      <c r="AG338" s="100">
        <f t="shared" si="571"/>
        <v>1.4999999999999999E-2</v>
      </c>
      <c r="AH338" s="84">
        <f t="shared" si="577"/>
        <v>1.6E-2</v>
      </c>
      <c r="AI338" s="82">
        <f t="shared" si="578"/>
        <v>180</v>
      </c>
      <c r="AJ338" s="82">
        <f t="shared" si="579"/>
        <v>60</v>
      </c>
      <c r="AK338" s="83">
        <f t="shared" si="580"/>
        <v>1E-3</v>
      </c>
      <c r="AL338" s="82">
        <f t="shared" si="581"/>
        <v>3</v>
      </c>
      <c r="AM338" s="82">
        <f t="shared" si="582"/>
        <v>1500</v>
      </c>
      <c r="AN338" s="11">
        <f t="shared" si="583"/>
        <v>0.1</v>
      </c>
      <c r="AO338" s="188">
        <f t="shared" si="503"/>
        <v>348587</v>
      </c>
    </row>
    <row r="339" spans="1:41" x14ac:dyDescent="0.2">
      <c r="A339" s="3" t="s">
        <v>296</v>
      </c>
      <c r="B339" s="3" t="s">
        <v>296</v>
      </c>
      <c r="C339" s="55">
        <v>2545</v>
      </c>
      <c r="D339" s="79">
        <v>58.484200000000001</v>
      </c>
      <c r="E339" s="84">
        <v>16.960599999999999</v>
      </c>
      <c r="F339" s="82">
        <v>8195</v>
      </c>
      <c r="G339" s="107">
        <v>0</v>
      </c>
      <c r="H339" s="188">
        <v>6</v>
      </c>
      <c r="I339" s="118">
        <v>-0.41899999999999998</v>
      </c>
      <c r="J339" s="83">
        <v>0.42499999999999999</v>
      </c>
      <c r="K339" s="83">
        <v>-3.2000000000000001E-2</v>
      </c>
      <c r="L339" s="84">
        <v>0.12180000000000001</v>
      </c>
      <c r="M339" s="84">
        <v>1.0999999999999999E-2</v>
      </c>
      <c r="N339" s="84">
        <v>1.2E-2</v>
      </c>
      <c r="O339" s="82">
        <v>180</v>
      </c>
      <c r="P339" s="82">
        <v>60</v>
      </c>
      <c r="Q339" s="83">
        <v>1E-3</v>
      </c>
      <c r="R339" s="82">
        <v>3</v>
      </c>
      <c r="S339" s="82">
        <v>1500</v>
      </c>
      <c r="T339" s="11">
        <v>0.1</v>
      </c>
      <c r="U339" s="122">
        <v>360800</v>
      </c>
      <c r="V339" s="22"/>
      <c r="W339" s="55">
        <f t="shared" si="630"/>
        <v>2545</v>
      </c>
      <c r="X339" s="79">
        <f t="shared" si="631"/>
        <v>58.484200000000001</v>
      </c>
      <c r="Y339" s="79">
        <f t="shared" si="632"/>
        <v>16.960599999999999</v>
      </c>
      <c r="Z339" s="14">
        <f t="shared" si="633"/>
        <v>8195</v>
      </c>
      <c r="AA339" s="10">
        <f t="shared" si="634"/>
        <v>0</v>
      </c>
      <c r="AB339" s="14">
        <f t="shared" si="576"/>
        <v>6</v>
      </c>
      <c r="AC339" s="118">
        <f>ROUND(I339+mwreg!$G$36/100,3)</f>
        <v>-0.32100000000000001</v>
      </c>
      <c r="AD339" s="83">
        <f>ROUND(J339+mwreg!$G$36/100,3)</f>
        <v>0.52300000000000002</v>
      </c>
      <c r="AE339" s="83">
        <f>ROUND(K339+mwreg!$G$36/100,3)</f>
        <v>6.6000000000000003E-2</v>
      </c>
      <c r="AF339" s="100">
        <f t="shared" si="570"/>
        <v>0.12180000000000001</v>
      </c>
      <c r="AG339" s="100">
        <f t="shared" si="571"/>
        <v>1.0999999999999999E-2</v>
      </c>
      <c r="AH339" s="84">
        <f t="shared" si="577"/>
        <v>1.2E-2</v>
      </c>
      <c r="AI339" s="82">
        <f t="shared" si="578"/>
        <v>180</v>
      </c>
      <c r="AJ339" s="82">
        <f t="shared" si="579"/>
        <v>60</v>
      </c>
      <c r="AK339" s="83">
        <f t="shared" si="580"/>
        <v>1E-3</v>
      </c>
      <c r="AL339" s="82">
        <f t="shared" si="581"/>
        <v>3</v>
      </c>
      <c r="AM339" s="82">
        <f t="shared" si="582"/>
        <v>1500</v>
      </c>
      <c r="AN339" s="11">
        <f t="shared" si="583"/>
        <v>0.1</v>
      </c>
      <c r="AO339" s="188">
        <f t="shared" si="503"/>
        <v>360800</v>
      </c>
    </row>
    <row r="340" spans="1:41" x14ac:dyDescent="0.2">
      <c r="A340" s="3" t="s">
        <v>296</v>
      </c>
      <c r="B340" s="3" t="s">
        <v>296</v>
      </c>
      <c r="C340" s="55">
        <v>2545</v>
      </c>
      <c r="D340" s="79">
        <v>58.484200000000001</v>
      </c>
      <c r="E340" s="84">
        <v>16.960599999999999</v>
      </c>
      <c r="F340" s="82">
        <v>8195</v>
      </c>
      <c r="G340" s="107">
        <v>0</v>
      </c>
      <c r="H340" s="188">
        <v>7</v>
      </c>
      <c r="I340" s="118">
        <v>-0.28000000000000003</v>
      </c>
      <c r="J340" s="83">
        <v>0.41299999999999998</v>
      </c>
      <c r="K340" s="83">
        <v>0.05</v>
      </c>
      <c r="L340" s="84">
        <v>0.1082</v>
      </c>
      <c r="M340" s="84">
        <v>1.2E-2</v>
      </c>
      <c r="N340" s="84">
        <v>1.2999999999999999E-2</v>
      </c>
      <c r="O340" s="82">
        <v>180</v>
      </c>
      <c r="P340" s="82">
        <v>60</v>
      </c>
      <c r="Q340" s="83">
        <v>1E-3</v>
      </c>
      <c r="R340" s="82">
        <v>3</v>
      </c>
      <c r="S340" s="82">
        <v>1500</v>
      </c>
      <c r="T340" s="11">
        <v>0.1</v>
      </c>
      <c r="U340" s="122">
        <v>397830</v>
      </c>
      <c r="V340" s="22"/>
      <c r="W340" s="55">
        <f t="shared" si="630"/>
        <v>2545</v>
      </c>
      <c r="X340" s="79">
        <f t="shared" si="631"/>
        <v>58.484200000000001</v>
      </c>
      <c r="Y340" s="79">
        <f t="shared" si="632"/>
        <v>16.960599999999999</v>
      </c>
      <c r="Z340" s="14">
        <f t="shared" si="633"/>
        <v>8195</v>
      </c>
      <c r="AA340" s="10">
        <f t="shared" si="634"/>
        <v>0</v>
      </c>
      <c r="AB340" s="14">
        <f t="shared" si="576"/>
        <v>7</v>
      </c>
      <c r="AC340" s="118">
        <f>ROUND(I340+mwreg!$G$36/100,3)</f>
        <v>-0.182</v>
      </c>
      <c r="AD340" s="83">
        <f>ROUND(J340+mwreg!$G$36/100,3)</f>
        <v>0.51100000000000001</v>
      </c>
      <c r="AE340" s="83">
        <f>ROUND(K340+mwreg!$G$36/100,3)</f>
        <v>0.14799999999999999</v>
      </c>
      <c r="AF340" s="100">
        <f t="shared" si="570"/>
        <v>0.1082</v>
      </c>
      <c r="AG340" s="100">
        <f t="shared" si="571"/>
        <v>1.2E-2</v>
      </c>
      <c r="AH340" s="84">
        <f t="shared" si="577"/>
        <v>1.2999999999999999E-2</v>
      </c>
      <c r="AI340" s="82">
        <f t="shared" si="578"/>
        <v>180</v>
      </c>
      <c r="AJ340" s="82">
        <f t="shared" si="579"/>
        <v>60</v>
      </c>
      <c r="AK340" s="83">
        <f t="shared" si="580"/>
        <v>1E-3</v>
      </c>
      <c r="AL340" s="82">
        <f t="shared" si="581"/>
        <v>3</v>
      </c>
      <c r="AM340" s="82">
        <f t="shared" si="582"/>
        <v>1500</v>
      </c>
      <c r="AN340" s="11">
        <f t="shared" si="583"/>
        <v>0.1</v>
      </c>
      <c r="AO340" s="188">
        <f t="shared" si="503"/>
        <v>397830</v>
      </c>
    </row>
    <row r="341" spans="1:41" x14ac:dyDescent="0.2">
      <c r="A341" s="3" t="s">
        <v>296</v>
      </c>
      <c r="B341" s="3" t="s">
        <v>296</v>
      </c>
      <c r="C341" s="55">
        <v>2545</v>
      </c>
      <c r="D341" s="79">
        <v>58.484200000000001</v>
      </c>
      <c r="E341" s="84">
        <v>16.960599999999999</v>
      </c>
      <c r="F341" s="82">
        <v>8195</v>
      </c>
      <c r="G341" s="107">
        <v>0</v>
      </c>
      <c r="H341" s="188">
        <v>8</v>
      </c>
      <c r="I341" s="118">
        <v>-0.375</v>
      </c>
      <c r="J341" s="83">
        <v>0.39900000000000002</v>
      </c>
      <c r="K341" s="83">
        <v>1.4E-2</v>
      </c>
      <c r="L341" s="84">
        <v>0.10970000000000001</v>
      </c>
      <c r="M341" s="84">
        <v>1.2E-2</v>
      </c>
      <c r="N341" s="84">
        <v>1.2999999999999999E-2</v>
      </c>
      <c r="O341" s="82">
        <v>180</v>
      </c>
      <c r="P341" s="82">
        <v>60</v>
      </c>
      <c r="Q341" s="83">
        <v>1E-3</v>
      </c>
      <c r="R341" s="82">
        <v>3</v>
      </c>
      <c r="S341" s="82">
        <v>1500</v>
      </c>
      <c r="T341" s="11">
        <v>0.1</v>
      </c>
      <c r="U341" s="122">
        <v>387706</v>
      </c>
      <c r="V341" s="22"/>
      <c r="W341" s="55">
        <f t="shared" si="630"/>
        <v>2545</v>
      </c>
      <c r="X341" s="79">
        <f t="shared" si="631"/>
        <v>58.484200000000001</v>
      </c>
      <c r="Y341" s="79">
        <f t="shared" si="632"/>
        <v>16.960599999999999</v>
      </c>
      <c r="Z341" s="14">
        <f t="shared" si="633"/>
        <v>8195</v>
      </c>
      <c r="AA341" s="10">
        <f t="shared" si="634"/>
        <v>0</v>
      </c>
      <c r="AB341" s="14">
        <f t="shared" si="576"/>
        <v>8</v>
      </c>
      <c r="AC341" s="118">
        <f>ROUND(I341+mwreg!$G$36/100,3)</f>
        <v>-0.27700000000000002</v>
      </c>
      <c r="AD341" s="83">
        <f>ROUND(J341+mwreg!$G$36/100,3)</f>
        <v>0.497</v>
      </c>
      <c r="AE341" s="83">
        <f>ROUND(K341+mwreg!$G$36/100,3)</f>
        <v>0.112</v>
      </c>
      <c r="AF341" s="100">
        <f t="shared" si="570"/>
        <v>0.10970000000000001</v>
      </c>
      <c r="AG341" s="100">
        <f t="shared" si="571"/>
        <v>1.2E-2</v>
      </c>
      <c r="AH341" s="84">
        <f t="shared" si="577"/>
        <v>1.2999999999999999E-2</v>
      </c>
      <c r="AI341" s="82">
        <f t="shared" si="578"/>
        <v>180</v>
      </c>
      <c r="AJ341" s="82">
        <f t="shared" si="579"/>
        <v>60</v>
      </c>
      <c r="AK341" s="83">
        <f t="shared" si="580"/>
        <v>1E-3</v>
      </c>
      <c r="AL341" s="82">
        <f t="shared" si="581"/>
        <v>3</v>
      </c>
      <c r="AM341" s="82">
        <f t="shared" si="582"/>
        <v>1500</v>
      </c>
      <c r="AN341" s="11">
        <f t="shared" si="583"/>
        <v>0.1</v>
      </c>
      <c r="AO341" s="188">
        <f t="shared" si="503"/>
        <v>387706</v>
      </c>
    </row>
    <row r="342" spans="1:41" x14ac:dyDescent="0.2">
      <c r="A342" s="3" t="s">
        <v>296</v>
      </c>
      <c r="B342" s="3" t="s">
        <v>296</v>
      </c>
      <c r="C342" s="55">
        <v>2545</v>
      </c>
      <c r="D342" s="79">
        <v>58.484200000000001</v>
      </c>
      <c r="E342" s="84">
        <v>16.960599999999999</v>
      </c>
      <c r="F342" s="82">
        <v>8195</v>
      </c>
      <c r="G342" s="107">
        <v>0</v>
      </c>
      <c r="H342" s="188">
        <v>9</v>
      </c>
      <c r="I342" s="118">
        <v>-0.51</v>
      </c>
      <c r="J342" s="83">
        <v>0.51</v>
      </c>
      <c r="K342" s="83">
        <v>3.1E-2</v>
      </c>
      <c r="L342" s="84">
        <v>0.1206</v>
      </c>
      <c r="M342" s="84">
        <v>1.0999999999999999E-2</v>
      </c>
      <c r="N342" s="84">
        <v>1.2E-2</v>
      </c>
      <c r="O342" s="82">
        <v>180</v>
      </c>
      <c r="P342" s="82">
        <v>60</v>
      </c>
      <c r="Q342" s="83">
        <v>1E-3</v>
      </c>
      <c r="R342" s="82">
        <v>3</v>
      </c>
      <c r="S342" s="82">
        <v>1500</v>
      </c>
      <c r="T342" s="11">
        <v>0.1</v>
      </c>
      <c r="U342" s="122">
        <v>377388</v>
      </c>
      <c r="V342" s="22"/>
      <c r="W342" s="55">
        <f t="shared" si="630"/>
        <v>2545</v>
      </c>
      <c r="X342" s="79">
        <f t="shared" si="631"/>
        <v>58.484200000000001</v>
      </c>
      <c r="Y342" s="79">
        <f t="shared" si="632"/>
        <v>16.960599999999999</v>
      </c>
      <c r="Z342" s="14">
        <f t="shared" si="633"/>
        <v>8195</v>
      </c>
      <c r="AA342" s="10">
        <f t="shared" si="634"/>
        <v>0</v>
      </c>
      <c r="AB342" s="14">
        <f t="shared" si="576"/>
        <v>9</v>
      </c>
      <c r="AC342" s="118">
        <f>ROUND(I342+mwreg!$G$36/100,3)</f>
        <v>-0.41199999999999998</v>
      </c>
      <c r="AD342" s="83">
        <f>ROUND(J342+mwreg!$G$36/100,3)</f>
        <v>0.60799999999999998</v>
      </c>
      <c r="AE342" s="83">
        <f>ROUND(K342+mwreg!$G$36/100,3)</f>
        <v>0.129</v>
      </c>
      <c r="AF342" s="100">
        <f t="shared" si="570"/>
        <v>0.1206</v>
      </c>
      <c r="AG342" s="100">
        <f t="shared" si="571"/>
        <v>1.0999999999999999E-2</v>
      </c>
      <c r="AH342" s="84">
        <f t="shared" si="577"/>
        <v>1.2E-2</v>
      </c>
      <c r="AI342" s="82">
        <f t="shared" si="578"/>
        <v>180</v>
      </c>
      <c r="AJ342" s="82">
        <f t="shared" si="579"/>
        <v>60</v>
      </c>
      <c r="AK342" s="83">
        <f t="shared" si="580"/>
        <v>1E-3</v>
      </c>
      <c r="AL342" s="82">
        <f t="shared" si="581"/>
        <v>3</v>
      </c>
      <c r="AM342" s="82">
        <f t="shared" si="582"/>
        <v>1500</v>
      </c>
      <c r="AN342" s="11">
        <f t="shared" si="583"/>
        <v>0.1</v>
      </c>
      <c r="AO342" s="188">
        <f t="shared" si="503"/>
        <v>377388</v>
      </c>
    </row>
    <row r="343" spans="1:41" x14ac:dyDescent="0.2">
      <c r="A343" s="3" t="s">
        <v>296</v>
      </c>
      <c r="B343" s="3" t="s">
        <v>296</v>
      </c>
      <c r="C343" s="55">
        <v>2545</v>
      </c>
      <c r="D343" s="79">
        <v>58.484200000000001</v>
      </c>
      <c r="E343" s="84">
        <v>16.960599999999999</v>
      </c>
      <c r="F343" s="82">
        <v>8195</v>
      </c>
      <c r="G343" s="107">
        <v>0</v>
      </c>
      <c r="H343" s="188">
        <v>10</v>
      </c>
      <c r="I343" s="118">
        <v>-0.53200000000000003</v>
      </c>
      <c r="J343" s="83">
        <v>0.72499999999999998</v>
      </c>
      <c r="K343" s="83">
        <v>-1.2E-2</v>
      </c>
      <c r="L343" s="84">
        <v>0.1704</v>
      </c>
      <c r="M343" s="84">
        <v>1.2E-2</v>
      </c>
      <c r="N343" s="84">
        <v>1.2999999999999999E-2</v>
      </c>
      <c r="O343" s="82">
        <v>180</v>
      </c>
      <c r="P343" s="82">
        <v>60</v>
      </c>
      <c r="Q343" s="83">
        <v>1E-3</v>
      </c>
      <c r="R343" s="82">
        <v>3</v>
      </c>
      <c r="S343" s="82">
        <v>1500</v>
      </c>
      <c r="T343" s="11">
        <v>0.1</v>
      </c>
      <c r="U343" s="122">
        <v>366216</v>
      </c>
      <c r="V343" s="22"/>
      <c r="W343" s="55">
        <f t="shared" si="630"/>
        <v>2545</v>
      </c>
      <c r="X343" s="79">
        <f t="shared" si="631"/>
        <v>58.484200000000001</v>
      </c>
      <c r="Y343" s="79">
        <f t="shared" si="632"/>
        <v>16.960599999999999</v>
      </c>
      <c r="Z343" s="14">
        <f t="shared" si="633"/>
        <v>8195</v>
      </c>
      <c r="AA343" s="10">
        <f t="shared" si="634"/>
        <v>0</v>
      </c>
      <c r="AB343" s="14">
        <f t="shared" si="576"/>
        <v>10</v>
      </c>
      <c r="AC343" s="118">
        <f>ROUND(I343+mwreg!$G$36/100,3)</f>
        <v>-0.434</v>
      </c>
      <c r="AD343" s="83">
        <f>ROUND(J343+mwreg!$G$36/100,3)</f>
        <v>0.82299999999999995</v>
      </c>
      <c r="AE343" s="83">
        <f>ROUND(K343+mwreg!$G$36/100,3)</f>
        <v>8.5999999999999993E-2</v>
      </c>
      <c r="AF343" s="100">
        <f t="shared" si="570"/>
        <v>0.1704</v>
      </c>
      <c r="AG343" s="100">
        <f t="shared" si="571"/>
        <v>1.2E-2</v>
      </c>
      <c r="AH343" s="84">
        <f t="shared" si="577"/>
        <v>1.2999999999999999E-2</v>
      </c>
      <c r="AI343" s="82">
        <f t="shared" si="578"/>
        <v>180</v>
      </c>
      <c r="AJ343" s="82">
        <f t="shared" si="579"/>
        <v>60</v>
      </c>
      <c r="AK343" s="83">
        <f t="shared" si="580"/>
        <v>1E-3</v>
      </c>
      <c r="AL343" s="82">
        <f t="shared" si="581"/>
        <v>3</v>
      </c>
      <c r="AM343" s="82">
        <f t="shared" si="582"/>
        <v>1500</v>
      </c>
      <c r="AN343" s="11">
        <f t="shared" si="583"/>
        <v>0.1</v>
      </c>
      <c r="AO343" s="188">
        <f t="shared" si="503"/>
        <v>366216</v>
      </c>
    </row>
    <row r="344" spans="1:41" x14ac:dyDescent="0.2">
      <c r="A344" s="3" t="s">
        <v>296</v>
      </c>
      <c r="B344" s="3" t="s">
        <v>296</v>
      </c>
      <c r="C344" s="55">
        <v>2545</v>
      </c>
      <c r="D344" s="79">
        <v>58.484200000000001</v>
      </c>
      <c r="E344" s="84">
        <v>16.960599999999999</v>
      </c>
      <c r="F344" s="82">
        <v>8195</v>
      </c>
      <c r="G344" s="107">
        <v>0</v>
      </c>
      <c r="H344" s="188">
        <v>11</v>
      </c>
      <c r="I344" s="118">
        <v>-0.59499999999999997</v>
      </c>
      <c r="J344" s="83">
        <v>0.72</v>
      </c>
      <c r="K344" s="83">
        <v>1.9E-2</v>
      </c>
      <c r="L344" s="84">
        <v>0.1908</v>
      </c>
      <c r="M344" s="84">
        <v>1.2999999999999999E-2</v>
      </c>
      <c r="N344" s="84">
        <v>1.4999999999999999E-2</v>
      </c>
      <c r="O344" s="82">
        <v>180</v>
      </c>
      <c r="P344" s="82">
        <v>60</v>
      </c>
      <c r="Q344" s="83">
        <v>1E-3</v>
      </c>
      <c r="R344" s="82">
        <v>3</v>
      </c>
      <c r="S344" s="82">
        <v>1500</v>
      </c>
      <c r="T344" s="11">
        <v>0.1</v>
      </c>
      <c r="U344" s="122">
        <v>326249</v>
      </c>
      <c r="V344" s="22"/>
      <c r="W344" s="55">
        <f t="shared" si="630"/>
        <v>2545</v>
      </c>
      <c r="X344" s="79">
        <f t="shared" si="631"/>
        <v>58.484200000000001</v>
      </c>
      <c r="Y344" s="79">
        <f t="shared" si="632"/>
        <v>16.960599999999999</v>
      </c>
      <c r="Z344" s="14">
        <f t="shared" si="633"/>
        <v>8195</v>
      </c>
      <c r="AA344" s="10">
        <f t="shared" si="634"/>
        <v>0</v>
      </c>
      <c r="AB344" s="14">
        <f t="shared" si="576"/>
        <v>11</v>
      </c>
      <c r="AC344" s="118">
        <f>ROUND(I344+mwreg!$G$36/100,3)</f>
        <v>-0.497</v>
      </c>
      <c r="AD344" s="83">
        <f>ROUND(J344+mwreg!$G$36/100,3)</f>
        <v>0.81799999999999995</v>
      </c>
      <c r="AE344" s="83">
        <f>ROUND(K344+mwreg!$G$36/100,3)</f>
        <v>0.11700000000000001</v>
      </c>
      <c r="AF344" s="100">
        <f t="shared" si="570"/>
        <v>0.1908</v>
      </c>
      <c r="AG344" s="100">
        <f t="shared" si="571"/>
        <v>1.2999999999999999E-2</v>
      </c>
      <c r="AH344" s="84">
        <f t="shared" si="577"/>
        <v>1.4999999999999999E-2</v>
      </c>
      <c r="AI344" s="82">
        <f t="shared" si="578"/>
        <v>180</v>
      </c>
      <c r="AJ344" s="82">
        <f t="shared" si="579"/>
        <v>60</v>
      </c>
      <c r="AK344" s="83">
        <f t="shared" si="580"/>
        <v>1E-3</v>
      </c>
      <c r="AL344" s="82">
        <f t="shared" si="581"/>
        <v>3</v>
      </c>
      <c r="AM344" s="82">
        <f t="shared" si="582"/>
        <v>1500</v>
      </c>
      <c r="AN344" s="11">
        <f t="shared" si="583"/>
        <v>0.1</v>
      </c>
      <c r="AO344" s="188">
        <f t="shared" si="503"/>
        <v>326249</v>
      </c>
    </row>
    <row r="345" spans="1:41" x14ac:dyDescent="0.2">
      <c r="A345" s="3" t="s">
        <v>296</v>
      </c>
      <c r="B345" s="3" t="s">
        <v>296</v>
      </c>
      <c r="C345" s="55">
        <v>2545</v>
      </c>
      <c r="D345" s="79">
        <v>58.484200000000001</v>
      </c>
      <c r="E345" s="84">
        <v>16.960599999999999</v>
      </c>
      <c r="F345" s="82">
        <v>8195</v>
      </c>
      <c r="G345" s="107">
        <v>0</v>
      </c>
      <c r="H345" s="188">
        <v>12</v>
      </c>
      <c r="I345" s="118">
        <v>-0.60699999999999998</v>
      </c>
      <c r="J345" s="83">
        <v>0.67</v>
      </c>
      <c r="K345" s="83">
        <v>0.14099999999999999</v>
      </c>
      <c r="L345" s="84">
        <v>0.2291</v>
      </c>
      <c r="M345" s="84">
        <v>1.7000000000000001E-2</v>
      </c>
      <c r="N345" s="84">
        <v>1.9E-2</v>
      </c>
      <c r="O345" s="82">
        <v>180</v>
      </c>
      <c r="P345" s="82">
        <v>60</v>
      </c>
      <c r="Q345" s="83">
        <v>1E-3</v>
      </c>
      <c r="R345" s="82">
        <v>3</v>
      </c>
      <c r="S345" s="82">
        <v>1500</v>
      </c>
      <c r="T345" s="11">
        <v>0.1</v>
      </c>
      <c r="U345" s="122">
        <v>358306</v>
      </c>
      <c r="V345" s="22"/>
      <c r="W345" s="55">
        <f t="shared" si="630"/>
        <v>2545</v>
      </c>
      <c r="X345" s="79">
        <f t="shared" si="631"/>
        <v>58.484200000000001</v>
      </c>
      <c r="Y345" s="79">
        <f t="shared" si="632"/>
        <v>16.960599999999999</v>
      </c>
      <c r="Z345" s="14">
        <f t="shared" si="633"/>
        <v>8195</v>
      </c>
      <c r="AA345" s="10">
        <f t="shared" si="634"/>
        <v>0</v>
      </c>
      <c r="AB345" s="14">
        <f t="shared" si="576"/>
        <v>12</v>
      </c>
      <c r="AC345" s="118">
        <f>ROUND(I345+mwreg!$G$36/100,3)</f>
        <v>-0.50900000000000001</v>
      </c>
      <c r="AD345" s="83">
        <f>ROUND(J345+mwreg!$G$36/100,3)</f>
        <v>0.76800000000000002</v>
      </c>
      <c r="AE345" s="83">
        <f>ROUND(K345+mwreg!$G$36/100,3)</f>
        <v>0.23899999999999999</v>
      </c>
      <c r="AF345" s="100">
        <f t="shared" si="570"/>
        <v>0.2291</v>
      </c>
      <c r="AG345" s="100">
        <f t="shared" si="571"/>
        <v>1.7000000000000001E-2</v>
      </c>
      <c r="AH345" s="84">
        <f t="shared" si="577"/>
        <v>1.9E-2</v>
      </c>
      <c r="AI345" s="82">
        <f t="shared" si="578"/>
        <v>180</v>
      </c>
      <c r="AJ345" s="82">
        <f t="shared" si="579"/>
        <v>60</v>
      </c>
      <c r="AK345" s="83">
        <f t="shared" si="580"/>
        <v>1E-3</v>
      </c>
      <c r="AL345" s="82">
        <f t="shared" si="581"/>
        <v>3</v>
      </c>
      <c r="AM345" s="82">
        <f t="shared" si="582"/>
        <v>1500</v>
      </c>
      <c r="AN345" s="11">
        <f t="shared" si="583"/>
        <v>0.1</v>
      </c>
      <c r="AO345" s="188">
        <f t="shared" si="503"/>
        <v>358306</v>
      </c>
    </row>
    <row r="346" spans="1:41" x14ac:dyDescent="0.2">
      <c r="A346" s="3" t="str">
        <f>stat_uppg!A37</f>
        <v>93/35151</v>
      </c>
      <c r="B346" s="3" t="str">
        <f>stat_uppg!B37</f>
        <v>VÄSTERVIK (SJÖV)</v>
      </c>
      <c r="C346" s="52">
        <v>35151</v>
      </c>
      <c r="D346" s="105">
        <v>57.747300000000003</v>
      </c>
      <c r="E346" s="105">
        <v>16.741599999999998</v>
      </c>
      <c r="F346" s="20">
        <v>8195</v>
      </c>
      <c r="G346" s="18">
        <v>0</v>
      </c>
      <c r="H346" s="53">
        <v>1</v>
      </c>
      <c r="I346" s="167">
        <f t="shared" ref="I346:K357" si="635">ROUND(0.369*I334+0.631*I406,3)</f>
        <v>-0.67700000000000005</v>
      </c>
      <c r="J346" s="104">
        <f t="shared" si="635"/>
        <v>1.073</v>
      </c>
      <c r="K346" s="104">
        <f t="shared" si="635"/>
        <v>0.115</v>
      </c>
      <c r="L346" s="105">
        <f t="shared" ref="L346:N357" si="636">ROUND(0.369*L334+0.631*L406,4)</f>
        <v>0.24660000000000001</v>
      </c>
      <c r="M346" s="105">
        <f t="shared" si="636"/>
        <v>3.5200000000000002E-2</v>
      </c>
      <c r="N346" s="105">
        <f t="shared" si="636"/>
        <v>3.7600000000000001E-2</v>
      </c>
      <c r="O346" s="20">
        <f t="shared" ref="O346:P357" si="637">ROUND(0.369*O334+0.631*O406,0)</f>
        <v>180</v>
      </c>
      <c r="P346" s="20">
        <f t="shared" si="637"/>
        <v>60</v>
      </c>
      <c r="Q346" s="104">
        <f t="shared" ref="Q346:Q357" si="638">ROUND(0.369*Q334+0.631*Q406,3)</f>
        <v>1E-3</v>
      </c>
      <c r="R346" s="20">
        <f t="shared" ref="R346:S357" si="639">ROUND(0.369*R334+0.631*R406,0)</f>
        <v>3</v>
      </c>
      <c r="S346" s="20">
        <f t="shared" si="639"/>
        <v>1500</v>
      </c>
      <c r="T346" s="104">
        <f t="shared" ref="T346:T357" si="640">ROUND(0.369*T334+0.631*T406,3)</f>
        <v>0.1</v>
      </c>
      <c r="U346" s="53" t="s">
        <v>282</v>
      </c>
      <c r="V346" s="21"/>
      <c r="W346" s="58">
        <f t="shared" si="630"/>
        <v>35151</v>
      </c>
      <c r="X346" s="102">
        <f t="shared" si="631"/>
        <v>57.747300000000003</v>
      </c>
      <c r="Y346" s="102">
        <f t="shared" si="632"/>
        <v>16.741599999999998</v>
      </c>
      <c r="Z346" s="21">
        <f t="shared" si="633"/>
        <v>8195</v>
      </c>
      <c r="AA346" s="44">
        <f t="shared" si="634"/>
        <v>0</v>
      </c>
      <c r="AB346" s="21">
        <f t="shared" si="576"/>
        <v>1</v>
      </c>
      <c r="AC346" s="119">
        <f>ROUND(I346+mwreg!$G$37/100,3)</f>
        <v>-0.56699999999999995</v>
      </c>
      <c r="AD346" s="108">
        <f>ROUND(J346+mwreg!$G$37/100,3)</f>
        <v>1.1830000000000001</v>
      </c>
      <c r="AE346" s="108">
        <f>ROUND(K346+mwreg!$G$37/100,3)</f>
        <v>0.22500000000000001</v>
      </c>
      <c r="AF346" s="102">
        <f t="shared" si="570"/>
        <v>0.24660000000000001</v>
      </c>
      <c r="AG346" s="102">
        <f t="shared" si="571"/>
        <v>3.5200000000000002E-2</v>
      </c>
      <c r="AH346" s="109">
        <f t="shared" ref="AH346:AH397" si="641">N346</f>
        <v>3.7600000000000001E-2</v>
      </c>
      <c r="AI346" s="110">
        <f t="shared" ref="AI346:AI397" si="642">O346</f>
        <v>180</v>
      </c>
      <c r="AJ346" s="110">
        <f t="shared" ref="AJ346:AJ397" si="643">P346</f>
        <v>60</v>
      </c>
      <c r="AK346" s="108">
        <f t="shared" ref="AK346:AK397" si="644">Q346</f>
        <v>1E-3</v>
      </c>
      <c r="AL346" s="110">
        <f t="shared" ref="AL346:AL397" si="645">R346</f>
        <v>3</v>
      </c>
      <c r="AM346" s="110">
        <f t="shared" ref="AM346:AM397" si="646">S346</f>
        <v>1500</v>
      </c>
      <c r="AN346" s="108">
        <f t="shared" ref="AN346:AN397" si="647">T346</f>
        <v>0.1</v>
      </c>
      <c r="AO346" s="186" t="str">
        <f t="shared" si="503"/>
        <v>NaN</v>
      </c>
    </row>
    <row r="347" spans="1:41" x14ac:dyDescent="0.2">
      <c r="A347" s="3" t="s">
        <v>296</v>
      </c>
      <c r="B347" s="3" t="s">
        <v>296</v>
      </c>
      <c r="C347" s="52">
        <v>35151</v>
      </c>
      <c r="D347" s="105">
        <v>57.747300000000003</v>
      </c>
      <c r="E347" s="105">
        <v>16.741599999999998</v>
      </c>
      <c r="F347" s="20">
        <v>8195</v>
      </c>
      <c r="G347" s="18">
        <v>0</v>
      </c>
      <c r="H347" s="53">
        <v>2</v>
      </c>
      <c r="I347" s="167">
        <f t="shared" si="635"/>
        <v>-0.70799999999999996</v>
      </c>
      <c r="J347" s="104">
        <f t="shared" si="635"/>
        <v>0.97099999999999997</v>
      </c>
      <c r="K347" s="104">
        <f t="shared" si="635"/>
        <v>0.05</v>
      </c>
      <c r="L347" s="105">
        <f t="shared" si="636"/>
        <v>0.25259999999999999</v>
      </c>
      <c r="M347" s="105">
        <f t="shared" si="636"/>
        <v>3.3500000000000002E-2</v>
      </c>
      <c r="N347" s="105">
        <f t="shared" si="636"/>
        <v>3.61E-2</v>
      </c>
      <c r="O347" s="20">
        <f t="shared" si="637"/>
        <v>180</v>
      </c>
      <c r="P347" s="20">
        <f t="shared" si="637"/>
        <v>60</v>
      </c>
      <c r="Q347" s="104">
        <f t="shared" si="638"/>
        <v>1E-3</v>
      </c>
      <c r="R347" s="20">
        <f t="shared" si="639"/>
        <v>3</v>
      </c>
      <c r="S347" s="20">
        <f t="shared" si="639"/>
        <v>1500</v>
      </c>
      <c r="T347" s="104">
        <f t="shared" si="640"/>
        <v>0.1</v>
      </c>
      <c r="U347" s="53" t="s">
        <v>282</v>
      </c>
      <c r="V347" s="21"/>
      <c r="W347" s="58">
        <f t="shared" si="630"/>
        <v>35151</v>
      </c>
      <c r="X347" s="102">
        <f t="shared" si="631"/>
        <v>57.747300000000003</v>
      </c>
      <c r="Y347" s="102">
        <f t="shared" si="632"/>
        <v>16.741599999999998</v>
      </c>
      <c r="Z347" s="21">
        <f t="shared" si="633"/>
        <v>8195</v>
      </c>
      <c r="AA347" s="44">
        <f t="shared" si="634"/>
        <v>0</v>
      </c>
      <c r="AB347" s="21">
        <f t="shared" si="576"/>
        <v>2</v>
      </c>
      <c r="AC347" s="119">
        <f>ROUND(I347+mwreg!$G$37/100,3)</f>
        <v>-0.59799999999999998</v>
      </c>
      <c r="AD347" s="108">
        <f>ROUND(J347+mwreg!$G$37/100,3)</f>
        <v>1.081</v>
      </c>
      <c r="AE347" s="108">
        <f>ROUND(K347+mwreg!$G$37/100,3)</f>
        <v>0.16</v>
      </c>
      <c r="AF347" s="102">
        <f t="shared" si="570"/>
        <v>0.25259999999999999</v>
      </c>
      <c r="AG347" s="102">
        <f t="shared" si="571"/>
        <v>3.3500000000000002E-2</v>
      </c>
      <c r="AH347" s="109">
        <f t="shared" si="641"/>
        <v>3.61E-2</v>
      </c>
      <c r="AI347" s="110">
        <f t="shared" si="642"/>
        <v>180</v>
      </c>
      <c r="AJ347" s="110">
        <f t="shared" si="643"/>
        <v>60</v>
      </c>
      <c r="AK347" s="108">
        <f t="shared" si="644"/>
        <v>1E-3</v>
      </c>
      <c r="AL347" s="110">
        <f t="shared" si="645"/>
        <v>3</v>
      </c>
      <c r="AM347" s="110">
        <f t="shared" si="646"/>
        <v>1500</v>
      </c>
      <c r="AN347" s="108">
        <f t="shared" si="647"/>
        <v>0.1</v>
      </c>
      <c r="AO347" s="186" t="str">
        <f t="shared" si="503"/>
        <v>NaN</v>
      </c>
    </row>
    <row r="348" spans="1:41" x14ac:dyDescent="0.2">
      <c r="A348" s="3" t="s">
        <v>296</v>
      </c>
      <c r="B348" s="3" t="s">
        <v>296</v>
      </c>
      <c r="C348" s="52">
        <v>35151</v>
      </c>
      <c r="D348" s="105">
        <v>57.747300000000003</v>
      </c>
      <c r="E348" s="105">
        <v>16.741599999999998</v>
      </c>
      <c r="F348" s="20">
        <v>8195</v>
      </c>
      <c r="G348" s="18">
        <v>0</v>
      </c>
      <c r="H348" s="53">
        <v>3</v>
      </c>
      <c r="I348" s="167">
        <f t="shared" si="635"/>
        <v>-0.80100000000000005</v>
      </c>
      <c r="J348" s="104">
        <f t="shared" si="635"/>
        <v>0.78900000000000003</v>
      </c>
      <c r="K348" s="104">
        <f t="shared" si="635"/>
        <v>-4.0000000000000001E-3</v>
      </c>
      <c r="L348" s="105">
        <f t="shared" si="636"/>
        <v>0.21340000000000001</v>
      </c>
      <c r="M348" s="105">
        <f t="shared" si="636"/>
        <v>2.9600000000000001E-2</v>
      </c>
      <c r="N348" s="105">
        <f t="shared" si="636"/>
        <v>3.1899999999999998E-2</v>
      </c>
      <c r="O348" s="20">
        <f t="shared" si="637"/>
        <v>180</v>
      </c>
      <c r="P348" s="20">
        <f t="shared" si="637"/>
        <v>60</v>
      </c>
      <c r="Q348" s="104">
        <f t="shared" si="638"/>
        <v>1E-3</v>
      </c>
      <c r="R348" s="20">
        <f t="shared" si="639"/>
        <v>3</v>
      </c>
      <c r="S348" s="20">
        <f t="shared" si="639"/>
        <v>1500</v>
      </c>
      <c r="T348" s="104">
        <f t="shared" si="640"/>
        <v>0.1</v>
      </c>
      <c r="U348" s="53" t="s">
        <v>282</v>
      </c>
      <c r="V348" s="21"/>
      <c r="W348" s="58">
        <f t="shared" si="630"/>
        <v>35151</v>
      </c>
      <c r="X348" s="102">
        <f t="shared" si="631"/>
        <v>57.747300000000003</v>
      </c>
      <c r="Y348" s="102">
        <f t="shared" si="632"/>
        <v>16.741599999999998</v>
      </c>
      <c r="Z348" s="21">
        <f t="shared" si="633"/>
        <v>8195</v>
      </c>
      <c r="AA348" s="44">
        <f t="shared" si="634"/>
        <v>0</v>
      </c>
      <c r="AB348" s="21">
        <f t="shared" si="576"/>
        <v>3</v>
      </c>
      <c r="AC348" s="119">
        <f>ROUND(I348+mwreg!$G$37/100,3)</f>
        <v>-0.69099999999999995</v>
      </c>
      <c r="AD348" s="108">
        <f>ROUND(J348+mwreg!$G$37/100,3)</f>
        <v>0.89900000000000002</v>
      </c>
      <c r="AE348" s="108">
        <f>ROUND(K348+mwreg!$G$37/100,3)</f>
        <v>0.106</v>
      </c>
      <c r="AF348" s="102">
        <f t="shared" si="570"/>
        <v>0.21340000000000001</v>
      </c>
      <c r="AG348" s="102">
        <f t="shared" si="571"/>
        <v>2.9600000000000001E-2</v>
      </c>
      <c r="AH348" s="109">
        <f t="shared" si="641"/>
        <v>3.1899999999999998E-2</v>
      </c>
      <c r="AI348" s="110">
        <f t="shared" si="642"/>
        <v>180</v>
      </c>
      <c r="AJ348" s="110">
        <f t="shared" si="643"/>
        <v>60</v>
      </c>
      <c r="AK348" s="108">
        <f t="shared" si="644"/>
        <v>1E-3</v>
      </c>
      <c r="AL348" s="110">
        <f t="shared" si="645"/>
        <v>3</v>
      </c>
      <c r="AM348" s="110">
        <f t="shared" si="646"/>
        <v>1500</v>
      </c>
      <c r="AN348" s="108">
        <f t="shared" si="647"/>
        <v>0.1</v>
      </c>
      <c r="AO348" s="186" t="str">
        <f t="shared" si="503"/>
        <v>NaN</v>
      </c>
    </row>
    <row r="349" spans="1:41" x14ac:dyDescent="0.2">
      <c r="A349" s="3" t="s">
        <v>296</v>
      </c>
      <c r="B349" s="3" t="s">
        <v>296</v>
      </c>
      <c r="C349" s="52">
        <v>35151</v>
      </c>
      <c r="D349" s="105">
        <v>57.747300000000003</v>
      </c>
      <c r="E349" s="105">
        <v>16.741599999999998</v>
      </c>
      <c r="F349" s="20">
        <v>8195</v>
      </c>
      <c r="G349" s="18">
        <v>0</v>
      </c>
      <c r="H349" s="53">
        <v>4</v>
      </c>
      <c r="I349" s="167">
        <f t="shared" si="635"/>
        <v>-0.55900000000000005</v>
      </c>
      <c r="J349" s="104">
        <f t="shared" si="635"/>
        <v>0.56100000000000005</v>
      </c>
      <c r="K349" s="104">
        <f t="shared" si="635"/>
        <v>-6.7000000000000004E-2</v>
      </c>
      <c r="L349" s="105">
        <f t="shared" si="636"/>
        <v>0.1482</v>
      </c>
      <c r="M349" s="105">
        <f t="shared" si="636"/>
        <v>3.1099999999999999E-2</v>
      </c>
      <c r="N349" s="105">
        <f t="shared" si="636"/>
        <v>3.32E-2</v>
      </c>
      <c r="O349" s="20">
        <f t="shared" si="637"/>
        <v>180</v>
      </c>
      <c r="P349" s="20">
        <f t="shared" si="637"/>
        <v>60</v>
      </c>
      <c r="Q349" s="104">
        <f t="shared" si="638"/>
        <v>1E-3</v>
      </c>
      <c r="R349" s="20">
        <f t="shared" si="639"/>
        <v>3</v>
      </c>
      <c r="S349" s="20">
        <f t="shared" si="639"/>
        <v>1500</v>
      </c>
      <c r="T349" s="104">
        <f t="shared" si="640"/>
        <v>0.1</v>
      </c>
      <c r="U349" s="53" t="s">
        <v>282</v>
      </c>
      <c r="V349" s="21"/>
      <c r="W349" s="58">
        <f t="shared" si="630"/>
        <v>35151</v>
      </c>
      <c r="X349" s="102">
        <f t="shared" si="631"/>
        <v>57.747300000000003</v>
      </c>
      <c r="Y349" s="102">
        <f t="shared" si="632"/>
        <v>16.741599999999998</v>
      </c>
      <c r="Z349" s="21">
        <f t="shared" si="633"/>
        <v>8195</v>
      </c>
      <c r="AA349" s="44">
        <f t="shared" si="634"/>
        <v>0</v>
      </c>
      <c r="AB349" s="21">
        <f t="shared" si="576"/>
        <v>4</v>
      </c>
      <c r="AC349" s="119">
        <f>ROUND(I349+mwreg!$G$37/100,3)</f>
        <v>-0.44900000000000001</v>
      </c>
      <c r="AD349" s="108">
        <f>ROUND(J349+mwreg!$G$37/100,3)</f>
        <v>0.67100000000000004</v>
      </c>
      <c r="AE349" s="108">
        <f>ROUND(K349+mwreg!$G$37/100,3)</f>
        <v>4.2999999999999997E-2</v>
      </c>
      <c r="AF349" s="102">
        <f t="shared" si="570"/>
        <v>0.1482</v>
      </c>
      <c r="AG349" s="102">
        <f t="shared" si="571"/>
        <v>3.1099999999999999E-2</v>
      </c>
      <c r="AH349" s="109">
        <f t="shared" si="641"/>
        <v>3.32E-2</v>
      </c>
      <c r="AI349" s="110">
        <f t="shared" si="642"/>
        <v>180</v>
      </c>
      <c r="AJ349" s="110">
        <f t="shared" si="643"/>
        <v>60</v>
      </c>
      <c r="AK349" s="108">
        <f t="shared" si="644"/>
        <v>1E-3</v>
      </c>
      <c r="AL349" s="110">
        <f t="shared" si="645"/>
        <v>3</v>
      </c>
      <c r="AM349" s="110">
        <f t="shared" si="646"/>
        <v>1500</v>
      </c>
      <c r="AN349" s="108">
        <f t="shared" si="647"/>
        <v>0.1</v>
      </c>
      <c r="AO349" s="186" t="str">
        <f t="shared" si="503"/>
        <v>NaN</v>
      </c>
    </row>
    <row r="350" spans="1:41" x14ac:dyDescent="0.2">
      <c r="A350" s="3" t="s">
        <v>296</v>
      </c>
      <c r="B350" s="3" t="s">
        <v>296</v>
      </c>
      <c r="C350" s="52">
        <v>35151</v>
      </c>
      <c r="D350" s="105">
        <v>57.747300000000003</v>
      </c>
      <c r="E350" s="105">
        <v>16.741599999999998</v>
      </c>
      <c r="F350" s="20">
        <v>8195</v>
      </c>
      <c r="G350" s="18">
        <v>0</v>
      </c>
      <c r="H350" s="53">
        <v>5</v>
      </c>
      <c r="I350" s="167">
        <f t="shared" si="635"/>
        <v>-0.51800000000000002</v>
      </c>
      <c r="J350" s="104">
        <f t="shared" si="635"/>
        <v>0.311</v>
      </c>
      <c r="K350" s="104">
        <f t="shared" si="635"/>
        <v>-0.06</v>
      </c>
      <c r="L350" s="105">
        <f t="shared" si="636"/>
        <v>0.1135</v>
      </c>
      <c r="M350" s="105">
        <f t="shared" si="636"/>
        <v>5.6000000000000001E-2</v>
      </c>
      <c r="N350" s="105">
        <f t="shared" si="636"/>
        <v>5.8099999999999999E-2</v>
      </c>
      <c r="O350" s="20">
        <f t="shared" si="637"/>
        <v>180</v>
      </c>
      <c r="P350" s="20">
        <f t="shared" si="637"/>
        <v>60</v>
      </c>
      <c r="Q350" s="104">
        <f t="shared" si="638"/>
        <v>1E-3</v>
      </c>
      <c r="R350" s="20">
        <f t="shared" si="639"/>
        <v>3</v>
      </c>
      <c r="S350" s="20">
        <f t="shared" si="639"/>
        <v>1500</v>
      </c>
      <c r="T350" s="104">
        <f t="shared" si="640"/>
        <v>0.1</v>
      </c>
      <c r="U350" s="53" t="s">
        <v>282</v>
      </c>
      <c r="V350" s="21"/>
      <c r="W350" s="58">
        <f t="shared" si="630"/>
        <v>35151</v>
      </c>
      <c r="X350" s="102">
        <f t="shared" si="631"/>
        <v>57.747300000000003</v>
      </c>
      <c r="Y350" s="102">
        <f t="shared" si="632"/>
        <v>16.741599999999998</v>
      </c>
      <c r="Z350" s="21">
        <f t="shared" si="633"/>
        <v>8195</v>
      </c>
      <c r="AA350" s="44">
        <f t="shared" si="634"/>
        <v>0</v>
      </c>
      <c r="AB350" s="21">
        <f t="shared" si="576"/>
        <v>5</v>
      </c>
      <c r="AC350" s="119">
        <f>ROUND(I350+mwreg!$G$37/100,3)</f>
        <v>-0.40799999999999997</v>
      </c>
      <c r="AD350" s="108">
        <f>ROUND(J350+mwreg!$G$37/100,3)</f>
        <v>0.42099999999999999</v>
      </c>
      <c r="AE350" s="108">
        <f>ROUND(K350+mwreg!$G$37/100,3)</f>
        <v>0.05</v>
      </c>
      <c r="AF350" s="102">
        <f t="shared" si="570"/>
        <v>0.1135</v>
      </c>
      <c r="AG350" s="102">
        <f t="shared" si="571"/>
        <v>5.6000000000000001E-2</v>
      </c>
      <c r="AH350" s="109">
        <f t="shared" si="641"/>
        <v>5.8099999999999999E-2</v>
      </c>
      <c r="AI350" s="110">
        <f t="shared" si="642"/>
        <v>180</v>
      </c>
      <c r="AJ350" s="110">
        <f t="shared" si="643"/>
        <v>60</v>
      </c>
      <c r="AK350" s="108">
        <f t="shared" si="644"/>
        <v>1E-3</v>
      </c>
      <c r="AL350" s="110">
        <f t="shared" si="645"/>
        <v>3</v>
      </c>
      <c r="AM350" s="110">
        <f t="shared" si="646"/>
        <v>1500</v>
      </c>
      <c r="AN350" s="108">
        <f t="shared" si="647"/>
        <v>0.1</v>
      </c>
      <c r="AO350" s="186" t="str">
        <f t="shared" si="503"/>
        <v>NaN</v>
      </c>
    </row>
    <row r="351" spans="1:41" x14ac:dyDescent="0.2">
      <c r="A351" s="3" t="s">
        <v>296</v>
      </c>
      <c r="B351" s="3" t="s">
        <v>296</v>
      </c>
      <c r="C351" s="52">
        <v>35151</v>
      </c>
      <c r="D351" s="105">
        <v>57.747300000000003</v>
      </c>
      <c r="E351" s="105">
        <v>16.741599999999998</v>
      </c>
      <c r="F351" s="20">
        <v>8195</v>
      </c>
      <c r="G351" s="18">
        <v>0</v>
      </c>
      <c r="H351" s="53">
        <v>6</v>
      </c>
      <c r="I351" s="167">
        <f t="shared" si="635"/>
        <v>-0.41299999999999998</v>
      </c>
      <c r="J351" s="104">
        <f t="shared" si="635"/>
        <v>0.53900000000000003</v>
      </c>
      <c r="K351" s="104">
        <f t="shared" si="635"/>
        <v>-3.7999999999999999E-2</v>
      </c>
      <c r="L351" s="105">
        <f t="shared" si="636"/>
        <v>0.10920000000000001</v>
      </c>
      <c r="M351" s="105">
        <f t="shared" si="636"/>
        <v>2.4400000000000002E-2</v>
      </c>
      <c r="N351" s="105">
        <f t="shared" si="636"/>
        <v>2.6499999999999999E-2</v>
      </c>
      <c r="O351" s="20">
        <f t="shared" si="637"/>
        <v>180</v>
      </c>
      <c r="P351" s="20">
        <f t="shared" si="637"/>
        <v>60</v>
      </c>
      <c r="Q351" s="104">
        <f t="shared" si="638"/>
        <v>1E-3</v>
      </c>
      <c r="R351" s="20">
        <f t="shared" si="639"/>
        <v>3</v>
      </c>
      <c r="S351" s="20">
        <f t="shared" si="639"/>
        <v>1500</v>
      </c>
      <c r="T351" s="104">
        <f t="shared" si="640"/>
        <v>0.1</v>
      </c>
      <c r="U351" s="53" t="s">
        <v>282</v>
      </c>
      <c r="V351" s="21"/>
      <c r="W351" s="58">
        <f t="shared" si="630"/>
        <v>35151</v>
      </c>
      <c r="X351" s="102">
        <f t="shared" si="631"/>
        <v>57.747300000000003</v>
      </c>
      <c r="Y351" s="102">
        <f t="shared" si="632"/>
        <v>16.741599999999998</v>
      </c>
      <c r="Z351" s="21">
        <f t="shared" si="633"/>
        <v>8195</v>
      </c>
      <c r="AA351" s="44">
        <f t="shared" si="634"/>
        <v>0</v>
      </c>
      <c r="AB351" s="21">
        <f t="shared" si="576"/>
        <v>6</v>
      </c>
      <c r="AC351" s="119">
        <f>ROUND(I351+mwreg!$G$37/100,3)</f>
        <v>-0.30299999999999999</v>
      </c>
      <c r="AD351" s="108">
        <f>ROUND(J351+mwreg!$G$37/100,3)</f>
        <v>0.64900000000000002</v>
      </c>
      <c r="AE351" s="108">
        <f>ROUND(K351+mwreg!$G$37/100,3)</f>
        <v>7.1999999999999995E-2</v>
      </c>
      <c r="AF351" s="102">
        <f t="shared" si="570"/>
        <v>0.10920000000000001</v>
      </c>
      <c r="AG351" s="102">
        <f t="shared" si="571"/>
        <v>2.4400000000000002E-2</v>
      </c>
      <c r="AH351" s="109">
        <f t="shared" si="641"/>
        <v>2.6499999999999999E-2</v>
      </c>
      <c r="AI351" s="110">
        <f t="shared" si="642"/>
        <v>180</v>
      </c>
      <c r="AJ351" s="110">
        <f t="shared" si="643"/>
        <v>60</v>
      </c>
      <c r="AK351" s="108">
        <f t="shared" si="644"/>
        <v>1E-3</v>
      </c>
      <c r="AL351" s="110">
        <f t="shared" si="645"/>
        <v>3</v>
      </c>
      <c r="AM351" s="110">
        <f t="shared" si="646"/>
        <v>1500</v>
      </c>
      <c r="AN351" s="108">
        <f t="shared" si="647"/>
        <v>0.1</v>
      </c>
      <c r="AO351" s="186" t="str">
        <f t="shared" si="503"/>
        <v>NaN</v>
      </c>
    </row>
    <row r="352" spans="1:41" x14ac:dyDescent="0.2">
      <c r="A352" s="3" t="s">
        <v>296</v>
      </c>
      <c r="B352" s="3" t="s">
        <v>296</v>
      </c>
      <c r="C352" s="52">
        <v>35151</v>
      </c>
      <c r="D352" s="105">
        <v>57.747300000000003</v>
      </c>
      <c r="E352" s="105">
        <v>16.741599999999998</v>
      </c>
      <c r="F352" s="20">
        <v>8195</v>
      </c>
      <c r="G352" s="18">
        <v>0</v>
      </c>
      <c r="H352" s="53">
        <v>7</v>
      </c>
      <c r="I352" s="167">
        <f t="shared" si="635"/>
        <v>-0.314</v>
      </c>
      <c r="J352" s="104">
        <f t="shared" si="635"/>
        <v>0.41399999999999998</v>
      </c>
      <c r="K352" s="104">
        <f t="shared" si="635"/>
        <v>0.06</v>
      </c>
      <c r="L352" s="105">
        <f t="shared" si="636"/>
        <v>0.1074</v>
      </c>
      <c r="M352" s="105">
        <f t="shared" si="636"/>
        <v>3.0700000000000002E-2</v>
      </c>
      <c r="N352" s="105">
        <f t="shared" si="636"/>
        <v>3.32E-2</v>
      </c>
      <c r="O352" s="20">
        <f t="shared" si="637"/>
        <v>180</v>
      </c>
      <c r="P352" s="20">
        <f t="shared" si="637"/>
        <v>60</v>
      </c>
      <c r="Q352" s="104">
        <f t="shared" si="638"/>
        <v>1E-3</v>
      </c>
      <c r="R352" s="20">
        <f t="shared" si="639"/>
        <v>3</v>
      </c>
      <c r="S352" s="20">
        <f t="shared" si="639"/>
        <v>1500</v>
      </c>
      <c r="T352" s="104">
        <f t="shared" si="640"/>
        <v>0.1</v>
      </c>
      <c r="U352" s="53" t="s">
        <v>282</v>
      </c>
      <c r="V352" s="21"/>
      <c r="W352" s="58">
        <f t="shared" si="630"/>
        <v>35151</v>
      </c>
      <c r="X352" s="102">
        <f t="shared" si="631"/>
        <v>57.747300000000003</v>
      </c>
      <c r="Y352" s="102">
        <f t="shared" si="632"/>
        <v>16.741599999999998</v>
      </c>
      <c r="Z352" s="21">
        <f t="shared" si="633"/>
        <v>8195</v>
      </c>
      <c r="AA352" s="44">
        <f t="shared" si="634"/>
        <v>0</v>
      </c>
      <c r="AB352" s="21">
        <f t="shared" si="576"/>
        <v>7</v>
      </c>
      <c r="AC352" s="119">
        <f>ROUND(I352+mwreg!$G$37/100,3)</f>
        <v>-0.20399999999999999</v>
      </c>
      <c r="AD352" s="108">
        <f>ROUND(J352+mwreg!$G$37/100,3)</f>
        <v>0.52400000000000002</v>
      </c>
      <c r="AE352" s="108">
        <f>ROUND(K352+mwreg!$G$37/100,3)</f>
        <v>0.17</v>
      </c>
      <c r="AF352" s="102">
        <f t="shared" si="570"/>
        <v>0.1074</v>
      </c>
      <c r="AG352" s="102">
        <f t="shared" si="571"/>
        <v>3.0700000000000002E-2</v>
      </c>
      <c r="AH352" s="109">
        <f t="shared" si="641"/>
        <v>3.32E-2</v>
      </c>
      <c r="AI352" s="110">
        <f t="shared" si="642"/>
        <v>180</v>
      </c>
      <c r="AJ352" s="110">
        <f t="shared" si="643"/>
        <v>60</v>
      </c>
      <c r="AK352" s="108">
        <f t="shared" si="644"/>
        <v>1E-3</v>
      </c>
      <c r="AL352" s="110">
        <f t="shared" si="645"/>
        <v>3</v>
      </c>
      <c r="AM352" s="110">
        <f t="shared" si="646"/>
        <v>1500</v>
      </c>
      <c r="AN352" s="108">
        <f t="shared" si="647"/>
        <v>0.1</v>
      </c>
      <c r="AO352" s="186" t="str">
        <f t="shared" si="503"/>
        <v>NaN</v>
      </c>
    </row>
    <row r="353" spans="1:41" x14ac:dyDescent="0.2">
      <c r="A353" s="3" t="s">
        <v>296</v>
      </c>
      <c r="B353" s="3" t="s">
        <v>296</v>
      </c>
      <c r="C353" s="52">
        <v>35151</v>
      </c>
      <c r="D353" s="105">
        <v>57.747300000000003</v>
      </c>
      <c r="E353" s="105">
        <v>16.741599999999998</v>
      </c>
      <c r="F353" s="20">
        <v>8195</v>
      </c>
      <c r="G353" s="18">
        <v>0</v>
      </c>
      <c r="H353" s="53">
        <v>8</v>
      </c>
      <c r="I353" s="167">
        <f t="shared" si="635"/>
        <v>-0.36499999999999999</v>
      </c>
      <c r="J353" s="104">
        <f t="shared" si="635"/>
        <v>0.47899999999999998</v>
      </c>
      <c r="K353" s="104">
        <f t="shared" si="635"/>
        <v>1.2E-2</v>
      </c>
      <c r="L353" s="105">
        <f t="shared" si="636"/>
        <v>0.1066</v>
      </c>
      <c r="M353" s="105">
        <f t="shared" si="636"/>
        <v>8.4099999999999994E-2</v>
      </c>
      <c r="N353" s="105">
        <f t="shared" si="636"/>
        <v>8.6800000000000002E-2</v>
      </c>
      <c r="O353" s="20">
        <f t="shared" si="637"/>
        <v>180</v>
      </c>
      <c r="P353" s="20">
        <f t="shared" si="637"/>
        <v>60</v>
      </c>
      <c r="Q353" s="104">
        <f t="shared" si="638"/>
        <v>1E-3</v>
      </c>
      <c r="R353" s="20">
        <f t="shared" si="639"/>
        <v>3</v>
      </c>
      <c r="S353" s="20">
        <f t="shared" si="639"/>
        <v>1500</v>
      </c>
      <c r="T353" s="104">
        <f t="shared" si="640"/>
        <v>0.1</v>
      </c>
      <c r="U353" s="53" t="s">
        <v>282</v>
      </c>
      <c r="V353" s="21"/>
      <c r="W353" s="58">
        <f t="shared" si="630"/>
        <v>35151</v>
      </c>
      <c r="X353" s="102">
        <f t="shared" si="631"/>
        <v>57.747300000000003</v>
      </c>
      <c r="Y353" s="102">
        <f t="shared" si="632"/>
        <v>16.741599999999998</v>
      </c>
      <c r="Z353" s="21">
        <f t="shared" si="633"/>
        <v>8195</v>
      </c>
      <c r="AA353" s="44">
        <f t="shared" si="634"/>
        <v>0</v>
      </c>
      <c r="AB353" s="21">
        <f t="shared" si="576"/>
        <v>8</v>
      </c>
      <c r="AC353" s="119">
        <f>ROUND(I353+mwreg!$G$37/100,3)</f>
        <v>-0.255</v>
      </c>
      <c r="AD353" s="108">
        <f>ROUND(J353+mwreg!$G$37/100,3)</f>
        <v>0.58899999999999997</v>
      </c>
      <c r="AE353" s="108">
        <f>ROUND(K353+mwreg!$G$37/100,3)</f>
        <v>0.122</v>
      </c>
      <c r="AF353" s="102">
        <f t="shared" si="570"/>
        <v>0.1066</v>
      </c>
      <c r="AG353" s="102">
        <f t="shared" si="571"/>
        <v>8.4099999999999994E-2</v>
      </c>
      <c r="AH353" s="109">
        <f t="shared" si="641"/>
        <v>8.6800000000000002E-2</v>
      </c>
      <c r="AI353" s="110">
        <f t="shared" si="642"/>
        <v>180</v>
      </c>
      <c r="AJ353" s="110">
        <f t="shared" si="643"/>
        <v>60</v>
      </c>
      <c r="AK353" s="108">
        <f t="shared" si="644"/>
        <v>1E-3</v>
      </c>
      <c r="AL353" s="110">
        <f t="shared" si="645"/>
        <v>3</v>
      </c>
      <c r="AM353" s="110">
        <f t="shared" si="646"/>
        <v>1500</v>
      </c>
      <c r="AN353" s="108">
        <f t="shared" si="647"/>
        <v>0.1</v>
      </c>
      <c r="AO353" s="186" t="str">
        <f t="shared" si="503"/>
        <v>NaN</v>
      </c>
    </row>
    <row r="354" spans="1:41" x14ac:dyDescent="0.2">
      <c r="A354" s="3" t="s">
        <v>296</v>
      </c>
      <c r="B354" s="3" t="s">
        <v>296</v>
      </c>
      <c r="C354" s="52">
        <v>35151</v>
      </c>
      <c r="D354" s="105">
        <v>57.747300000000003</v>
      </c>
      <c r="E354" s="105">
        <v>16.741599999999998</v>
      </c>
      <c r="F354" s="20">
        <v>8195</v>
      </c>
      <c r="G354" s="18">
        <v>0</v>
      </c>
      <c r="H354" s="53">
        <v>9</v>
      </c>
      <c r="I354" s="167">
        <f t="shared" si="635"/>
        <v>-0.52700000000000002</v>
      </c>
      <c r="J354" s="104">
        <f t="shared" si="635"/>
        <v>0.55700000000000005</v>
      </c>
      <c r="K354" s="104">
        <f t="shared" si="635"/>
        <v>5.1999999999999998E-2</v>
      </c>
      <c r="L354" s="105">
        <f t="shared" si="636"/>
        <v>0.12790000000000001</v>
      </c>
      <c r="M354" s="105">
        <f t="shared" si="636"/>
        <v>3.6700000000000003E-2</v>
      </c>
      <c r="N354" s="105">
        <f t="shared" si="636"/>
        <v>3.9100000000000003E-2</v>
      </c>
      <c r="O354" s="20">
        <f t="shared" si="637"/>
        <v>180</v>
      </c>
      <c r="P354" s="20">
        <f t="shared" si="637"/>
        <v>60</v>
      </c>
      <c r="Q354" s="104">
        <f t="shared" si="638"/>
        <v>1E-3</v>
      </c>
      <c r="R354" s="20">
        <f t="shared" si="639"/>
        <v>3</v>
      </c>
      <c r="S354" s="20">
        <f t="shared" si="639"/>
        <v>1500</v>
      </c>
      <c r="T354" s="104">
        <f t="shared" si="640"/>
        <v>0.1</v>
      </c>
      <c r="U354" s="53" t="s">
        <v>282</v>
      </c>
      <c r="V354" s="21"/>
      <c r="W354" s="58">
        <f t="shared" si="630"/>
        <v>35151</v>
      </c>
      <c r="X354" s="102">
        <f t="shared" si="631"/>
        <v>57.747300000000003</v>
      </c>
      <c r="Y354" s="102">
        <f t="shared" si="632"/>
        <v>16.741599999999998</v>
      </c>
      <c r="Z354" s="21">
        <f t="shared" si="633"/>
        <v>8195</v>
      </c>
      <c r="AA354" s="44">
        <f t="shared" si="634"/>
        <v>0</v>
      </c>
      <c r="AB354" s="21">
        <f t="shared" si="576"/>
        <v>9</v>
      </c>
      <c r="AC354" s="119">
        <f>ROUND(I354+mwreg!$G$37/100,3)</f>
        <v>-0.41699999999999998</v>
      </c>
      <c r="AD354" s="108">
        <f>ROUND(J354+mwreg!$G$37/100,3)</f>
        <v>0.66700000000000004</v>
      </c>
      <c r="AE354" s="108">
        <f>ROUND(K354+mwreg!$G$37/100,3)</f>
        <v>0.16200000000000001</v>
      </c>
      <c r="AF354" s="102">
        <f t="shared" si="570"/>
        <v>0.12790000000000001</v>
      </c>
      <c r="AG354" s="102">
        <f t="shared" si="571"/>
        <v>3.6700000000000003E-2</v>
      </c>
      <c r="AH354" s="109">
        <f t="shared" si="641"/>
        <v>3.9100000000000003E-2</v>
      </c>
      <c r="AI354" s="110">
        <f t="shared" si="642"/>
        <v>180</v>
      </c>
      <c r="AJ354" s="110">
        <f t="shared" si="643"/>
        <v>60</v>
      </c>
      <c r="AK354" s="108">
        <f t="shared" si="644"/>
        <v>1E-3</v>
      </c>
      <c r="AL354" s="110">
        <f t="shared" si="645"/>
        <v>3</v>
      </c>
      <c r="AM354" s="110">
        <f t="shared" si="646"/>
        <v>1500</v>
      </c>
      <c r="AN354" s="108">
        <f t="shared" si="647"/>
        <v>0.1</v>
      </c>
      <c r="AO354" s="186" t="str">
        <f t="shared" ref="AO354:AO405" si="648">U354</f>
        <v>NaN</v>
      </c>
    </row>
    <row r="355" spans="1:41" x14ac:dyDescent="0.2">
      <c r="A355" s="3" t="s">
        <v>296</v>
      </c>
      <c r="B355" s="3" t="s">
        <v>296</v>
      </c>
      <c r="C355" s="52">
        <v>35151</v>
      </c>
      <c r="D355" s="105">
        <v>57.747300000000003</v>
      </c>
      <c r="E355" s="105">
        <v>16.741599999999998</v>
      </c>
      <c r="F355" s="20">
        <v>8195</v>
      </c>
      <c r="G355" s="18">
        <v>0</v>
      </c>
      <c r="H355" s="53">
        <v>10</v>
      </c>
      <c r="I355" s="167">
        <f t="shared" si="635"/>
        <v>-0.54300000000000004</v>
      </c>
      <c r="J355" s="104">
        <f t="shared" si="635"/>
        <v>0.80300000000000005</v>
      </c>
      <c r="K355" s="104">
        <f t="shared" si="635"/>
        <v>1.6E-2</v>
      </c>
      <c r="L355" s="105">
        <f t="shared" si="636"/>
        <v>0.1651</v>
      </c>
      <c r="M355" s="105">
        <f t="shared" si="636"/>
        <v>3.0800000000000001E-2</v>
      </c>
      <c r="N355" s="105">
        <f t="shared" si="636"/>
        <v>3.32E-2</v>
      </c>
      <c r="O355" s="20">
        <f t="shared" si="637"/>
        <v>180</v>
      </c>
      <c r="P355" s="20">
        <f t="shared" si="637"/>
        <v>60</v>
      </c>
      <c r="Q355" s="104">
        <f t="shared" si="638"/>
        <v>1E-3</v>
      </c>
      <c r="R355" s="20">
        <f t="shared" si="639"/>
        <v>3</v>
      </c>
      <c r="S355" s="20">
        <f t="shared" si="639"/>
        <v>1500</v>
      </c>
      <c r="T355" s="104">
        <f t="shared" si="640"/>
        <v>0.1</v>
      </c>
      <c r="U355" s="53" t="s">
        <v>282</v>
      </c>
      <c r="V355" s="21"/>
      <c r="W355" s="58">
        <f t="shared" si="630"/>
        <v>35151</v>
      </c>
      <c r="X355" s="102">
        <f t="shared" si="631"/>
        <v>57.747300000000003</v>
      </c>
      <c r="Y355" s="102">
        <f t="shared" si="632"/>
        <v>16.741599999999998</v>
      </c>
      <c r="Z355" s="21">
        <f t="shared" si="633"/>
        <v>8195</v>
      </c>
      <c r="AA355" s="44">
        <f t="shared" si="634"/>
        <v>0</v>
      </c>
      <c r="AB355" s="21">
        <f t="shared" si="576"/>
        <v>10</v>
      </c>
      <c r="AC355" s="119">
        <f>ROUND(I355+mwreg!$G$37/100,3)</f>
        <v>-0.433</v>
      </c>
      <c r="AD355" s="108">
        <f>ROUND(J355+mwreg!$G$37/100,3)</f>
        <v>0.91300000000000003</v>
      </c>
      <c r="AE355" s="108">
        <f>ROUND(K355+mwreg!$G$37/100,3)</f>
        <v>0.126</v>
      </c>
      <c r="AF355" s="102">
        <f t="shared" si="570"/>
        <v>0.1651</v>
      </c>
      <c r="AG355" s="102">
        <f t="shared" si="571"/>
        <v>3.0800000000000001E-2</v>
      </c>
      <c r="AH355" s="109">
        <f t="shared" si="641"/>
        <v>3.32E-2</v>
      </c>
      <c r="AI355" s="110">
        <f t="shared" si="642"/>
        <v>180</v>
      </c>
      <c r="AJ355" s="110">
        <f t="shared" si="643"/>
        <v>60</v>
      </c>
      <c r="AK355" s="108">
        <f t="shared" si="644"/>
        <v>1E-3</v>
      </c>
      <c r="AL355" s="110">
        <f t="shared" si="645"/>
        <v>3</v>
      </c>
      <c r="AM355" s="110">
        <f t="shared" si="646"/>
        <v>1500</v>
      </c>
      <c r="AN355" s="108">
        <f t="shared" si="647"/>
        <v>0.1</v>
      </c>
      <c r="AO355" s="186" t="str">
        <f t="shared" si="648"/>
        <v>NaN</v>
      </c>
    </row>
    <row r="356" spans="1:41" x14ac:dyDescent="0.2">
      <c r="A356" s="3" t="s">
        <v>296</v>
      </c>
      <c r="B356" s="3" t="s">
        <v>296</v>
      </c>
      <c r="C356" s="52">
        <v>35151</v>
      </c>
      <c r="D356" s="105">
        <v>57.747300000000003</v>
      </c>
      <c r="E356" s="105">
        <v>16.741599999999998</v>
      </c>
      <c r="F356" s="20">
        <v>8195</v>
      </c>
      <c r="G356" s="18">
        <v>0</v>
      </c>
      <c r="H356" s="53">
        <v>11</v>
      </c>
      <c r="I356" s="167">
        <f t="shared" si="635"/>
        <v>-0.69699999999999995</v>
      </c>
      <c r="J356" s="104">
        <f t="shared" si="635"/>
        <v>0.88800000000000001</v>
      </c>
      <c r="K356" s="104">
        <f t="shared" si="635"/>
        <v>4.5999999999999999E-2</v>
      </c>
      <c r="L356" s="105">
        <f t="shared" si="636"/>
        <v>0.192</v>
      </c>
      <c r="M356" s="105">
        <f t="shared" si="636"/>
        <v>9.0399999999999994E-2</v>
      </c>
      <c r="N356" s="105">
        <f t="shared" si="636"/>
        <v>9.3200000000000005E-2</v>
      </c>
      <c r="O356" s="20">
        <f t="shared" si="637"/>
        <v>180</v>
      </c>
      <c r="P356" s="20">
        <f t="shared" si="637"/>
        <v>60</v>
      </c>
      <c r="Q356" s="104">
        <f t="shared" si="638"/>
        <v>1E-3</v>
      </c>
      <c r="R356" s="20">
        <f t="shared" si="639"/>
        <v>3</v>
      </c>
      <c r="S356" s="20">
        <f t="shared" si="639"/>
        <v>1500</v>
      </c>
      <c r="T356" s="104">
        <f t="shared" si="640"/>
        <v>0.1</v>
      </c>
      <c r="U356" s="53" t="s">
        <v>282</v>
      </c>
      <c r="V356" s="21"/>
      <c r="W356" s="58">
        <f t="shared" si="630"/>
        <v>35151</v>
      </c>
      <c r="X356" s="102">
        <f t="shared" si="631"/>
        <v>57.747300000000003</v>
      </c>
      <c r="Y356" s="102">
        <f t="shared" si="632"/>
        <v>16.741599999999998</v>
      </c>
      <c r="Z356" s="21">
        <f t="shared" si="633"/>
        <v>8195</v>
      </c>
      <c r="AA356" s="44">
        <f t="shared" si="634"/>
        <v>0</v>
      </c>
      <c r="AB356" s="21">
        <f t="shared" si="576"/>
        <v>11</v>
      </c>
      <c r="AC356" s="119">
        <f>ROUND(I356+mwreg!$G$37/100,3)</f>
        <v>-0.58699999999999997</v>
      </c>
      <c r="AD356" s="108">
        <f>ROUND(J356+mwreg!$G$37/100,3)</f>
        <v>0.998</v>
      </c>
      <c r="AE356" s="108">
        <f>ROUND(K356+mwreg!$G$37/100,3)</f>
        <v>0.156</v>
      </c>
      <c r="AF356" s="102">
        <f t="shared" si="570"/>
        <v>0.192</v>
      </c>
      <c r="AG356" s="102">
        <f t="shared" si="571"/>
        <v>9.0399999999999994E-2</v>
      </c>
      <c r="AH356" s="109">
        <f t="shared" si="641"/>
        <v>9.3200000000000005E-2</v>
      </c>
      <c r="AI356" s="110">
        <f t="shared" si="642"/>
        <v>180</v>
      </c>
      <c r="AJ356" s="110">
        <f t="shared" si="643"/>
        <v>60</v>
      </c>
      <c r="AK356" s="108">
        <f t="shared" si="644"/>
        <v>1E-3</v>
      </c>
      <c r="AL356" s="110">
        <f t="shared" si="645"/>
        <v>3</v>
      </c>
      <c r="AM356" s="110">
        <f t="shared" si="646"/>
        <v>1500</v>
      </c>
      <c r="AN356" s="108">
        <f t="shared" si="647"/>
        <v>0.1</v>
      </c>
      <c r="AO356" s="186" t="str">
        <f t="shared" si="648"/>
        <v>NaN</v>
      </c>
    </row>
    <row r="357" spans="1:41" x14ac:dyDescent="0.2">
      <c r="A357" s="3" t="s">
        <v>296</v>
      </c>
      <c r="B357" s="3" t="s">
        <v>296</v>
      </c>
      <c r="C357" s="52">
        <v>35151</v>
      </c>
      <c r="D357" s="105">
        <v>57.747300000000003</v>
      </c>
      <c r="E357" s="105">
        <v>16.741599999999998</v>
      </c>
      <c r="F357" s="20">
        <v>8195</v>
      </c>
      <c r="G357" s="18">
        <v>0</v>
      </c>
      <c r="H357" s="53">
        <v>12</v>
      </c>
      <c r="I357" s="167">
        <f t="shared" si="635"/>
        <v>-0.60499999999999998</v>
      </c>
      <c r="J357" s="104">
        <f t="shared" si="635"/>
        <v>0.80600000000000005</v>
      </c>
      <c r="K357" s="104">
        <f t="shared" si="635"/>
        <v>0.11</v>
      </c>
      <c r="L357" s="105">
        <f t="shared" si="636"/>
        <v>0.20519999999999999</v>
      </c>
      <c r="M357" s="105">
        <f t="shared" si="636"/>
        <v>3.4000000000000002E-2</v>
      </c>
      <c r="N357" s="105">
        <f t="shared" si="636"/>
        <v>3.6700000000000003E-2</v>
      </c>
      <c r="O357" s="20">
        <f t="shared" si="637"/>
        <v>180</v>
      </c>
      <c r="P357" s="20">
        <f t="shared" si="637"/>
        <v>60</v>
      </c>
      <c r="Q357" s="104">
        <f t="shared" si="638"/>
        <v>1E-3</v>
      </c>
      <c r="R357" s="20">
        <f t="shared" si="639"/>
        <v>3</v>
      </c>
      <c r="S357" s="20">
        <f t="shared" si="639"/>
        <v>1500</v>
      </c>
      <c r="T357" s="104">
        <f t="shared" si="640"/>
        <v>0.1</v>
      </c>
      <c r="U357" s="53" t="s">
        <v>282</v>
      </c>
      <c r="V357" s="21"/>
      <c r="W357" s="58">
        <f t="shared" si="630"/>
        <v>35151</v>
      </c>
      <c r="X357" s="102">
        <f t="shared" si="631"/>
        <v>57.747300000000003</v>
      </c>
      <c r="Y357" s="102">
        <f t="shared" si="632"/>
        <v>16.741599999999998</v>
      </c>
      <c r="Z357" s="21">
        <f t="shared" si="633"/>
        <v>8195</v>
      </c>
      <c r="AA357" s="44">
        <f t="shared" si="634"/>
        <v>0</v>
      </c>
      <c r="AB357" s="21">
        <f t="shared" si="576"/>
        <v>12</v>
      </c>
      <c r="AC357" s="119">
        <f>ROUND(I357+mwreg!$G$37/100,3)</f>
        <v>-0.495</v>
      </c>
      <c r="AD357" s="108">
        <f>ROUND(J357+mwreg!$G$37/100,3)</f>
        <v>0.91600000000000004</v>
      </c>
      <c r="AE357" s="108">
        <f>ROUND(K357+mwreg!$G$37/100,3)</f>
        <v>0.22</v>
      </c>
      <c r="AF357" s="102">
        <f t="shared" si="570"/>
        <v>0.20519999999999999</v>
      </c>
      <c r="AG357" s="102">
        <f t="shared" si="571"/>
        <v>3.4000000000000002E-2</v>
      </c>
      <c r="AH357" s="109">
        <f t="shared" si="641"/>
        <v>3.6700000000000003E-2</v>
      </c>
      <c r="AI357" s="110">
        <f t="shared" si="642"/>
        <v>180</v>
      </c>
      <c r="AJ357" s="110">
        <f t="shared" si="643"/>
        <v>60</v>
      </c>
      <c r="AK357" s="108">
        <f t="shared" si="644"/>
        <v>1E-3</v>
      </c>
      <c r="AL357" s="110">
        <f t="shared" si="645"/>
        <v>3</v>
      </c>
      <c r="AM357" s="110">
        <f t="shared" si="646"/>
        <v>1500</v>
      </c>
      <c r="AN357" s="108">
        <f t="shared" si="647"/>
        <v>0.1</v>
      </c>
      <c r="AO357" s="186" t="str">
        <f t="shared" si="648"/>
        <v>NaN</v>
      </c>
    </row>
    <row r="358" spans="1:41" x14ac:dyDescent="0.2">
      <c r="A358" s="3" t="str">
        <f>stat_uppg!A38</f>
        <v>81/35114</v>
      </c>
      <c r="B358" s="3" t="str">
        <f>stat_uppg!B38</f>
        <v>SLITE (SJÖV)</v>
      </c>
      <c r="C358" s="52">
        <v>35114</v>
      </c>
      <c r="D358" s="105">
        <v>57.706000000000003</v>
      </c>
      <c r="E358" s="105">
        <v>18.809999999999999</v>
      </c>
      <c r="F358" s="20">
        <v>8195</v>
      </c>
      <c r="G358" s="18">
        <v>0</v>
      </c>
      <c r="H358" s="53">
        <v>1</v>
      </c>
      <c r="I358" s="167">
        <f t="shared" ref="I358:K369" si="649">ROUND(I370,3)</f>
        <v>-0.59899999999999998</v>
      </c>
      <c r="J358" s="104">
        <f t="shared" si="649"/>
        <v>0.81699999999999995</v>
      </c>
      <c r="K358" s="104">
        <f t="shared" si="649"/>
        <v>0.127</v>
      </c>
      <c r="L358" s="105">
        <f t="shared" ref="L358:N369" si="650">ROUND(L370,4)</f>
        <v>0.20300000000000001</v>
      </c>
      <c r="M358" s="105">
        <f t="shared" si="650"/>
        <v>5.1900000000000002E-2</v>
      </c>
      <c r="N358" s="105">
        <f t="shared" si="650"/>
        <v>5.3999999999999999E-2</v>
      </c>
      <c r="O358" s="20">
        <f t="shared" ref="O358:P369" si="651">ROUND(O370,0)</f>
        <v>180</v>
      </c>
      <c r="P358" s="20">
        <f t="shared" si="651"/>
        <v>60</v>
      </c>
      <c r="Q358" s="104">
        <f t="shared" ref="Q358:Q369" si="652">ROUND(Q370,3)</f>
        <v>1E-3</v>
      </c>
      <c r="R358" s="20">
        <f t="shared" ref="R358:S369" si="653">ROUND(R370,0)</f>
        <v>3</v>
      </c>
      <c r="S358" s="20">
        <f t="shared" si="653"/>
        <v>1500</v>
      </c>
      <c r="T358" s="104">
        <f t="shared" ref="T358:T369" si="654">ROUND(T370,3)</f>
        <v>0.1</v>
      </c>
      <c r="U358" s="53" t="s">
        <v>282</v>
      </c>
      <c r="V358" s="44"/>
      <c r="W358" s="58">
        <f t="shared" ref="W358:W369" si="655">C358</f>
        <v>35114</v>
      </c>
      <c r="X358" s="102">
        <f t="shared" si="631"/>
        <v>57.706000000000003</v>
      </c>
      <c r="Y358" s="102">
        <f t="shared" si="632"/>
        <v>18.809999999999999</v>
      </c>
      <c r="Z358" s="21">
        <f t="shared" si="633"/>
        <v>8195</v>
      </c>
      <c r="AA358" s="44">
        <f t="shared" si="634"/>
        <v>0</v>
      </c>
      <c r="AB358" s="21">
        <f t="shared" si="576"/>
        <v>1</v>
      </c>
      <c r="AC358" s="119">
        <f>ROUND(I358+mwreg!$G$38/100,3)</f>
        <v>-0.50900000000000001</v>
      </c>
      <c r="AD358" s="108">
        <f>ROUND(J358+mwreg!$G$38/100,3)</f>
        <v>0.90700000000000003</v>
      </c>
      <c r="AE358" s="108">
        <f>ROUND(K358+mwreg!$G$38/100,3)</f>
        <v>0.217</v>
      </c>
      <c r="AF358" s="102">
        <f t="shared" ref="AF358:AF369" si="656">L358</f>
        <v>0.20300000000000001</v>
      </c>
      <c r="AG358" s="102">
        <f t="shared" si="571"/>
        <v>5.1900000000000002E-2</v>
      </c>
      <c r="AH358" s="109">
        <f t="shared" si="641"/>
        <v>5.3999999999999999E-2</v>
      </c>
      <c r="AI358" s="110">
        <f t="shared" si="642"/>
        <v>180</v>
      </c>
      <c r="AJ358" s="110">
        <f t="shared" si="643"/>
        <v>60</v>
      </c>
      <c r="AK358" s="108">
        <f t="shared" si="644"/>
        <v>1E-3</v>
      </c>
      <c r="AL358" s="110">
        <f t="shared" si="645"/>
        <v>3</v>
      </c>
      <c r="AM358" s="110">
        <f t="shared" si="646"/>
        <v>1500</v>
      </c>
      <c r="AN358" s="108">
        <f t="shared" si="647"/>
        <v>0.1</v>
      </c>
      <c r="AO358" s="186" t="str">
        <f t="shared" si="648"/>
        <v>NaN</v>
      </c>
    </row>
    <row r="359" spans="1:41" x14ac:dyDescent="0.2">
      <c r="A359" s="3" t="s">
        <v>296</v>
      </c>
      <c r="B359" s="3" t="s">
        <v>296</v>
      </c>
      <c r="C359" s="52">
        <v>35114</v>
      </c>
      <c r="D359" s="105">
        <v>57.706000000000003</v>
      </c>
      <c r="E359" s="105">
        <v>18.809999999999999</v>
      </c>
      <c r="F359" s="20">
        <v>8195</v>
      </c>
      <c r="G359" s="18">
        <v>0</v>
      </c>
      <c r="H359" s="53">
        <v>2</v>
      </c>
      <c r="I359" s="167">
        <f t="shared" si="649"/>
        <v>-0.629</v>
      </c>
      <c r="J359" s="104">
        <f t="shared" si="649"/>
        <v>0.79700000000000004</v>
      </c>
      <c r="K359" s="104">
        <f t="shared" si="649"/>
        <v>4.7E-2</v>
      </c>
      <c r="L359" s="105">
        <f t="shared" si="650"/>
        <v>0.23669999999999999</v>
      </c>
      <c r="M359" s="105">
        <f t="shared" si="650"/>
        <v>8.1799999999999998E-2</v>
      </c>
      <c r="N359" s="105">
        <f t="shared" si="650"/>
        <v>8.4000000000000005E-2</v>
      </c>
      <c r="O359" s="20">
        <f t="shared" si="651"/>
        <v>180</v>
      </c>
      <c r="P359" s="20">
        <f t="shared" si="651"/>
        <v>60</v>
      </c>
      <c r="Q359" s="104">
        <f t="shared" si="652"/>
        <v>1E-3</v>
      </c>
      <c r="R359" s="20">
        <f t="shared" si="653"/>
        <v>3</v>
      </c>
      <c r="S359" s="20">
        <f t="shared" si="653"/>
        <v>1500</v>
      </c>
      <c r="T359" s="104">
        <f t="shared" si="654"/>
        <v>0.1</v>
      </c>
      <c r="U359" s="53" t="s">
        <v>282</v>
      </c>
      <c r="V359" s="44"/>
      <c r="W359" s="58">
        <f t="shared" si="655"/>
        <v>35114</v>
      </c>
      <c r="X359" s="102">
        <f t="shared" si="631"/>
        <v>57.706000000000003</v>
      </c>
      <c r="Y359" s="102">
        <f t="shared" si="632"/>
        <v>18.809999999999999</v>
      </c>
      <c r="Z359" s="21">
        <f t="shared" si="633"/>
        <v>8195</v>
      </c>
      <c r="AA359" s="44">
        <f t="shared" si="634"/>
        <v>0</v>
      </c>
      <c r="AB359" s="21">
        <f t="shared" si="576"/>
        <v>2</v>
      </c>
      <c r="AC359" s="119">
        <f>ROUND(I359+mwreg!$G$38/100,3)</f>
        <v>-0.53900000000000003</v>
      </c>
      <c r="AD359" s="108">
        <f>ROUND(J359+mwreg!$G$38/100,3)</f>
        <v>0.88700000000000001</v>
      </c>
      <c r="AE359" s="108">
        <f>ROUND(K359+mwreg!$G$38/100,3)</f>
        <v>0.13700000000000001</v>
      </c>
      <c r="AF359" s="102">
        <f t="shared" si="656"/>
        <v>0.23669999999999999</v>
      </c>
      <c r="AG359" s="102">
        <f t="shared" si="571"/>
        <v>8.1799999999999998E-2</v>
      </c>
      <c r="AH359" s="109">
        <f t="shared" si="641"/>
        <v>8.4000000000000005E-2</v>
      </c>
      <c r="AI359" s="110">
        <f t="shared" si="642"/>
        <v>180</v>
      </c>
      <c r="AJ359" s="110">
        <f t="shared" si="643"/>
        <v>60</v>
      </c>
      <c r="AK359" s="108">
        <f t="shared" si="644"/>
        <v>1E-3</v>
      </c>
      <c r="AL359" s="110">
        <f t="shared" si="645"/>
        <v>3</v>
      </c>
      <c r="AM359" s="110">
        <f t="shared" si="646"/>
        <v>1500</v>
      </c>
      <c r="AN359" s="108">
        <f t="shared" si="647"/>
        <v>0.1</v>
      </c>
      <c r="AO359" s="186" t="str">
        <f t="shared" si="648"/>
        <v>NaN</v>
      </c>
    </row>
    <row r="360" spans="1:41" x14ac:dyDescent="0.2">
      <c r="A360" s="3" t="s">
        <v>296</v>
      </c>
      <c r="B360" s="3" t="s">
        <v>296</v>
      </c>
      <c r="C360" s="52">
        <v>35114</v>
      </c>
      <c r="D360" s="105">
        <v>57.706000000000003</v>
      </c>
      <c r="E360" s="105">
        <v>18.809999999999999</v>
      </c>
      <c r="F360" s="20">
        <v>8195</v>
      </c>
      <c r="G360" s="18">
        <v>0</v>
      </c>
      <c r="H360" s="53">
        <v>3</v>
      </c>
      <c r="I360" s="167">
        <f t="shared" si="649"/>
        <v>-0.71699999999999997</v>
      </c>
      <c r="J360" s="104">
        <f t="shared" si="649"/>
        <v>0.71499999999999997</v>
      </c>
      <c r="K360" s="104">
        <f t="shared" si="649"/>
        <v>-3.1E-2</v>
      </c>
      <c r="L360" s="105">
        <f t="shared" si="650"/>
        <v>0.2016</v>
      </c>
      <c r="M360" s="105">
        <f t="shared" si="650"/>
        <v>7.1599999999999997E-2</v>
      </c>
      <c r="N360" s="105">
        <f t="shared" si="650"/>
        <v>7.3999999999999996E-2</v>
      </c>
      <c r="O360" s="20">
        <f t="shared" si="651"/>
        <v>180</v>
      </c>
      <c r="P360" s="20">
        <f t="shared" si="651"/>
        <v>60</v>
      </c>
      <c r="Q360" s="104">
        <f t="shared" si="652"/>
        <v>1E-3</v>
      </c>
      <c r="R360" s="20">
        <f t="shared" si="653"/>
        <v>3</v>
      </c>
      <c r="S360" s="20">
        <f t="shared" si="653"/>
        <v>1500</v>
      </c>
      <c r="T360" s="104">
        <f t="shared" si="654"/>
        <v>0.1</v>
      </c>
      <c r="U360" s="53" t="s">
        <v>282</v>
      </c>
      <c r="V360" s="44"/>
      <c r="W360" s="58">
        <f t="shared" si="655"/>
        <v>35114</v>
      </c>
      <c r="X360" s="102">
        <f t="shared" si="631"/>
        <v>57.706000000000003</v>
      </c>
      <c r="Y360" s="102">
        <f t="shared" si="632"/>
        <v>18.809999999999999</v>
      </c>
      <c r="Z360" s="21">
        <f t="shared" si="633"/>
        <v>8195</v>
      </c>
      <c r="AA360" s="44">
        <f t="shared" si="634"/>
        <v>0</v>
      </c>
      <c r="AB360" s="21">
        <f t="shared" si="576"/>
        <v>3</v>
      </c>
      <c r="AC360" s="119">
        <f>ROUND(I360+mwreg!$G$38/100,3)</f>
        <v>-0.627</v>
      </c>
      <c r="AD360" s="108">
        <f>ROUND(J360+mwreg!$G$38/100,3)</f>
        <v>0.80500000000000005</v>
      </c>
      <c r="AE360" s="108">
        <f>ROUND(K360+mwreg!$G$38/100,3)</f>
        <v>5.8999999999999997E-2</v>
      </c>
      <c r="AF360" s="102">
        <f t="shared" si="656"/>
        <v>0.2016</v>
      </c>
      <c r="AG360" s="102">
        <f t="shared" si="571"/>
        <v>7.1599999999999997E-2</v>
      </c>
      <c r="AH360" s="109">
        <f t="shared" si="641"/>
        <v>7.3999999999999996E-2</v>
      </c>
      <c r="AI360" s="110">
        <f t="shared" si="642"/>
        <v>180</v>
      </c>
      <c r="AJ360" s="110">
        <f t="shared" si="643"/>
        <v>60</v>
      </c>
      <c r="AK360" s="108">
        <f t="shared" si="644"/>
        <v>1E-3</v>
      </c>
      <c r="AL360" s="110">
        <f t="shared" si="645"/>
        <v>3</v>
      </c>
      <c r="AM360" s="110">
        <f t="shared" si="646"/>
        <v>1500</v>
      </c>
      <c r="AN360" s="108">
        <f t="shared" si="647"/>
        <v>0.1</v>
      </c>
      <c r="AO360" s="186" t="str">
        <f t="shared" si="648"/>
        <v>NaN</v>
      </c>
    </row>
    <row r="361" spans="1:41" x14ac:dyDescent="0.2">
      <c r="A361" s="3" t="s">
        <v>296</v>
      </c>
      <c r="B361" s="3" t="s">
        <v>296</v>
      </c>
      <c r="C361" s="52">
        <v>35114</v>
      </c>
      <c r="D361" s="105">
        <v>57.706000000000003</v>
      </c>
      <c r="E361" s="105">
        <v>18.809999999999999</v>
      </c>
      <c r="F361" s="20">
        <v>8195</v>
      </c>
      <c r="G361" s="18">
        <v>0</v>
      </c>
      <c r="H361" s="53">
        <v>4</v>
      </c>
      <c r="I361" s="167">
        <f t="shared" si="649"/>
        <v>-0.58199999999999996</v>
      </c>
      <c r="J361" s="104">
        <f t="shared" si="649"/>
        <v>0.52300000000000002</v>
      </c>
      <c r="K361" s="104">
        <f t="shared" si="649"/>
        <v>-0.06</v>
      </c>
      <c r="L361" s="105">
        <f t="shared" si="650"/>
        <v>0.14779999999999999</v>
      </c>
      <c r="M361" s="105">
        <f t="shared" si="650"/>
        <v>7.0599999999999996E-2</v>
      </c>
      <c r="N361" s="105">
        <f t="shared" si="650"/>
        <v>7.2999999999999995E-2</v>
      </c>
      <c r="O361" s="20">
        <f t="shared" si="651"/>
        <v>180</v>
      </c>
      <c r="P361" s="20">
        <f t="shared" si="651"/>
        <v>60</v>
      </c>
      <c r="Q361" s="104">
        <f t="shared" si="652"/>
        <v>1E-3</v>
      </c>
      <c r="R361" s="20">
        <f t="shared" si="653"/>
        <v>3</v>
      </c>
      <c r="S361" s="20">
        <f t="shared" si="653"/>
        <v>1500</v>
      </c>
      <c r="T361" s="104">
        <f t="shared" si="654"/>
        <v>0.1</v>
      </c>
      <c r="U361" s="53" t="s">
        <v>282</v>
      </c>
      <c r="V361" s="44"/>
      <c r="W361" s="58">
        <f t="shared" si="655"/>
        <v>35114</v>
      </c>
      <c r="X361" s="102">
        <f t="shared" si="631"/>
        <v>57.706000000000003</v>
      </c>
      <c r="Y361" s="102">
        <f t="shared" si="632"/>
        <v>18.809999999999999</v>
      </c>
      <c r="Z361" s="21">
        <f t="shared" si="633"/>
        <v>8195</v>
      </c>
      <c r="AA361" s="44">
        <f t="shared" si="634"/>
        <v>0</v>
      </c>
      <c r="AB361" s="21">
        <f t="shared" si="576"/>
        <v>4</v>
      </c>
      <c r="AC361" s="119">
        <f>ROUND(I361+mwreg!$G$38/100,3)</f>
        <v>-0.49199999999999999</v>
      </c>
      <c r="AD361" s="108">
        <f>ROUND(J361+mwreg!$G$38/100,3)</f>
        <v>0.61299999999999999</v>
      </c>
      <c r="AE361" s="108">
        <f>ROUND(K361+mwreg!$G$38/100,3)</f>
        <v>0.03</v>
      </c>
      <c r="AF361" s="102">
        <f t="shared" si="656"/>
        <v>0.14779999999999999</v>
      </c>
      <c r="AG361" s="102">
        <f t="shared" si="571"/>
        <v>7.0599999999999996E-2</v>
      </c>
      <c r="AH361" s="109">
        <f t="shared" si="641"/>
        <v>7.2999999999999995E-2</v>
      </c>
      <c r="AI361" s="110">
        <f t="shared" si="642"/>
        <v>180</v>
      </c>
      <c r="AJ361" s="110">
        <f t="shared" si="643"/>
        <v>60</v>
      </c>
      <c r="AK361" s="108">
        <f t="shared" si="644"/>
        <v>1E-3</v>
      </c>
      <c r="AL361" s="110">
        <f t="shared" si="645"/>
        <v>3</v>
      </c>
      <c r="AM361" s="110">
        <f t="shared" si="646"/>
        <v>1500</v>
      </c>
      <c r="AN361" s="108">
        <f t="shared" si="647"/>
        <v>0.1</v>
      </c>
      <c r="AO361" s="186" t="str">
        <f t="shared" si="648"/>
        <v>NaN</v>
      </c>
    </row>
    <row r="362" spans="1:41" x14ac:dyDescent="0.2">
      <c r="A362" s="3" t="s">
        <v>296</v>
      </c>
      <c r="B362" s="3" t="s">
        <v>296</v>
      </c>
      <c r="C362" s="52">
        <v>35114</v>
      </c>
      <c r="D362" s="105">
        <v>57.706000000000003</v>
      </c>
      <c r="E362" s="105">
        <v>18.809999999999999</v>
      </c>
      <c r="F362" s="20">
        <v>8195</v>
      </c>
      <c r="G362" s="18">
        <v>0</v>
      </c>
      <c r="H362" s="53">
        <v>5</v>
      </c>
      <c r="I362" s="167">
        <f t="shared" si="649"/>
        <v>-0.45100000000000001</v>
      </c>
      <c r="J362" s="104">
        <f t="shared" si="649"/>
        <v>0.25900000000000001</v>
      </c>
      <c r="K362" s="104">
        <f t="shared" si="649"/>
        <v>-7.0000000000000007E-2</v>
      </c>
      <c r="L362" s="105">
        <f t="shared" si="650"/>
        <v>0.1026</v>
      </c>
      <c r="M362" s="105">
        <f t="shared" si="650"/>
        <v>7.8799999999999995E-2</v>
      </c>
      <c r="N362" s="105">
        <f t="shared" si="650"/>
        <v>8.1000000000000003E-2</v>
      </c>
      <c r="O362" s="20">
        <f t="shared" si="651"/>
        <v>180</v>
      </c>
      <c r="P362" s="20">
        <f t="shared" si="651"/>
        <v>60</v>
      </c>
      <c r="Q362" s="104">
        <f t="shared" si="652"/>
        <v>1E-3</v>
      </c>
      <c r="R362" s="20">
        <f t="shared" si="653"/>
        <v>3</v>
      </c>
      <c r="S362" s="20">
        <f t="shared" si="653"/>
        <v>1500</v>
      </c>
      <c r="T362" s="104">
        <f t="shared" si="654"/>
        <v>0.1</v>
      </c>
      <c r="U362" s="53" t="s">
        <v>282</v>
      </c>
      <c r="V362" s="44"/>
      <c r="W362" s="58">
        <f t="shared" si="655"/>
        <v>35114</v>
      </c>
      <c r="X362" s="102">
        <f t="shared" si="631"/>
        <v>57.706000000000003</v>
      </c>
      <c r="Y362" s="102">
        <f t="shared" si="632"/>
        <v>18.809999999999999</v>
      </c>
      <c r="Z362" s="21">
        <f t="shared" si="633"/>
        <v>8195</v>
      </c>
      <c r="AA362" s="44">
        <f t="shared" si="634"/>
        <v>0</v>
      </c>
      <c r="AB362" s="21">
        <f t="shared" si="576"/>
        <v>5</v>
      </c>
      <c r="AC362" s="119">
        <f>ROUND(I362+mwreg!$G$38/100,3)</f>
        <v>-0.36099999999999999</v>
      </c>
      <c r="AD362" s="108">
        <f>ROUND(J362+mwreg!$G$38/100,3)</f>
        <v>0.34899999999999998</v>
      </c>
      <c r="AE362" s="108">
        <f>ROUND(K362+mwreg!$G$38/100,3)</f>
        <v>0.02</v>
      </c>
      <c r="AF362" s="102">
        <f t="shared" si="656"/>
        <v>0.1026</v>
      </c>
      <c r="AG362" s="102">
        <f t="shared" si="571"/>
        <v>7.8799999999999995E-2</v>
      </c>
      <c r="AH362" s="109">
        <f t="shared" si="641"/>
        <v>8.1000000000000003E-2</v>
      </c>
      <c r="AI362" s="110">
        <f t="shared" si="642"/>
        <v>180</v>
      </c>
      <c r="AJ362" s="110">
        <f t="shared" si="643"/>
        <v>60</v>
      </c>
      <c r="AK362" s="108">
        <f t="shared" si="644"/>
        <v>1E-3</v>
      </c>
      <c r="AL362" s="110">
        <f t="shared" si="645"/>
        <v>3</v>
      </c>
      <c r="AM362" s="110">
        <f t="shared" si="646"/>
        <v>1500</v>
      </c>
      <c r="AN362" s="108">
        <f t="shared" si="647"/>
        <v>0.1</v>
      </c>
      <c r="AO362" s="186" t="str">
        <f t="shared" si="648"/>
        <v>NaN</v>
      </c>
    </row>
    <row r="363" spans="1:41" x14ac:dyDescent="0.2">
      <c r="A363" s="3" t="s">
        <v>296</v>
      </c>
      <c r="B363" s="3" t="s">
        <v>296</v>
      </c>
      <c r="C363" s="52">
        <v>35114</v>
      </c>
      <c r="D363" s="105">
        <v>57.706000000000003</v>
      </c>
      <c r="E363" s="105">
        <v>18.809999999999999</v>
      </c>
      <c r="F363" s="20">
        <v>8195</v>
      </c>
      <c r="G363" s="18">
        <v>0</v>
      </c>
      <c r="H363" s="53">
        <v>6</v>
      </c>
      <c r="I363" s="167">
        <f t="shared" si="649"/>
        <v>-0.378</v>
      </c>
      <c r="J363" s="104">
        <f t="shared" si="649"/>
        <v>0.34</v>
      </c>
      <c r="K363" s="104">
        <f t="shared" si="649"/>
        <v>-4.1000000000000002E-2</v>
      </c>
      <c r="L363" s="105">
        <f t="shared" si="650"/>
        <v>0.1193</v>
      </c>
      <c r="M363" s="105">
        <f t="shared" si="650"/>
        <v>5.1299999999999998E-2</v>
      </c>
      <c r="N363" s="105">
        <f t="shared" si="650"/>
        <v>5.3999999999999999E-2</v>
      </c>
      <c r="O363" s="20">
        <f t="shared" si="651"/>
        <v>180</v>
      </c>
      <c r="P363" s="20">
        <f t="shared" si="651"/>
        <v>60</v>
      </c>
      <c r="Q363" s="104">
        <f t="shared" si="652"/>
        <v>1E-3</v>
      </c>
      <c r="R363" s="20">
        <f t="shared" si="653"/>
        <v>3</v>
      </c>
      <c r="S363" s="20">
        <f t="shared" si="653"/>
        <v>1500</v>
      </c>
      <c r="T363" s="104">
        <f t="shared" si="654"/>
        <v>0.1</v>
      </c>
      <c r="U363" s="53" t="s">
        <v>282</v>
      </c>
      <c r="V363" s="44"/>
      <c r="W363" s="58">
        <f t="shared" si="655"/>
        <v>35114</v>
      </c>
      <c r="X363" s="102">
        <f t="shared" si="631"/>
        <v>57.706000000000003</v>
      </c>
      <c r="Y363" s="102">
        <f t="shared" si="632"/>
        <v>18.809999999999999</v>
      </c>
      <c r="Z363" s="21">
        <f t="shared" si="633"/>
        <v>8195</v>
      </c>
      <c r="AA363" s="44">
        <f t="shared" si="634"/>
        <v>0</v>
      </c>
      <c r="AB363" s="21">
        <f t="shared" si="576"/>
        <v>6</v>
      </c>
      <c r="AC363" s="119">
        <f>ROUND(I363+mwreg!$G$38/100,3)</f>
        <v>-0.28799999999999998</v>
      </c>
      <c r="AD363" s="108">
        <f>ROUND(J363+mwreg!$G$38/100,3)</f>
        <v>0.43</v>
      </c>
      <c r="AE363" s="108">
        <f>ROUND(K363+mwreg!$G$38/100,3)</f>
        <v>4.9000000000000002E-2</v>
      </c>
      <c r="AF363" s="102">
        <f t="shared" si="656"/>
        <v>0.1193</v>
      </c>
      <c r="AG363" s="102">
        <f t="shared" si="571"/>
        <v>5.1299999999999998E-2</v>
      </c>
      <c r="AH363" s="109">
        <f t="shared" si="641"/>
        <v>5.3999999999999999E-2</v>
      </c>
      <c r="AI363" s="110">
        <f t="shared" si="642"/>
        <v>180</v>
      </c>
      <c r="AJ363" s="110">
        <f t="shared" si="643"/>
        <v>60</v>
      </c>
      <c r="AK363" s="108">
        <f t="shared" si="644"/>
        <v>1E-3</v>
      </c>
      <c r="AL363" s="110">
        <f t="shared" si="645"/>
        <v>3</v>
      </c>
      <c r="AM363" s="110">
        <f t="shared" si="646"/>
        <v>1500</v>
      </c>
      <c r="AN363" s="108">
        <f t="shared" si="647"/>
        <v>0.1</v>
      </c>
      <c r="AO363" s="186" t="str">
        <f t="shared" si="648"/>
        <v>NaN</v>
      </c>
    </row>
    <row r="364" spans="1:41" x14ac:dyDescent="0.2">
      <c r="A364" s="3" t="s">
        <v>296</v>
      </c>
      <c r="B364" s="3" t="s">
        <v>296</v>
      </c>
      <c r="C364" s="52">
        <v>35114</v>
      </c>
      <c r="D364" s="105">
        <v>57.706000000000003</v>
      </c>
      <c r="E364" s="105">
        <v>18.809999999999999</v>
      </c>
      <c r="F364" s="20">
        <v>8195</v>
      </c>
      <c r="G364" s="18">
        <v>0</v>
      </c>
      <c r="H364" s="53">
        <v>7</v>
      </c>
      <c r="I364" s="167">
        <f t="shared" si="649"/>
        <v>-0.27700000000000002</v>
      </c>
      <c r="J364" s="104">
        <f t="shared" si="649"/>
        <v>0.4</v>
      </c>
      <c r="K364" s="104">
        <f t="shared" si="649"/>
        <v>8.5999999999999993E-2</v>
      </c>
      <c r="L364" s="105">
        <f t="shared" si="650"/>
        <v>9.1300000000000006E-2</v>
      </c>
      <c r="M364" s="105">
        <f t="shared" si="650"/>
        <v>6.7199999999999996E-2</v>
      </c>
      <c r="N364" s="105">
        <f t="shared" si="650"/>
        <v>7.1999999999999995E-2</v>
      </c>
      <c r="O364" s="20">
        <f t="shared" si="651"/>
        <v>180</v>
      </c>
      <c r="P364" s="20">
        <f t="shared" si="651"/>
        <v>60</v>
      </c>
      <c r="Q364" s="104">
        <f t="shared" si="652"/>
        <v>1E-3</v>
      </c>
      <c r="R364" s="20">
        <f t="shared" si="653"/>
        <v>3</v>
      </c>
      <c r="S364" s="20">
        <f t="shared" si="653"/>
        <v>1500</v>
      </c>
      <c r="T364" s="104">
        <f t="shared" si="654"/>
        <v>0.1</v>
      </c>
      <c r="U364" s="53" t="s">
        <v>282</v>
      </c>
      <c r="V364" s="44"/>
      <c r="W364" s="58">
        <f t="shared" si="655"/>
        <v>35114</v>
      </c>
      <c r="X364" s="102">
        <f t="shared" si="631"/>
        <v>57.706000000000003</v>
      </c>
      <c r="Y364" s="102">
        <f t="shared" si="632"/>
        <v>18.809999999999999</v>
      </c>
      <c r="Z364" s="21">
        <f t="shared" si="633"/>
        <v>8195</v>
      </c>
      <c r="AA364" s="44">
        <f t="shared" si="634"/>
        <v>0</v>
      </c>
      <c r="AB364" s="21">
        <f t="shared" si="576"/>
        <v>7</v>
      </c>
      <c r="AC364" s="119">
        <f>ROUND(I364+mwreg!$G$38/100,3)</f>
        <v>-0.187</v>
      </c>
      <c r="AD364" s="108">
        <f>ROUND(J364+mwreg!$G$38/100,3)</f>
        <v>0.49</v>
      </c>
      <c r="AE364" s="108">
        <f>ROUND(K364+mwreg!$G$38/100,3)</f>
        <v>0.17599999999999999</v>
      </c>
      <c r="AF364" s="102">
        <f t="shared" si="656"/>
        <v>9.1300000000000006E-2</v>
      </c>
      <c r="AG364" s="102">
        <f t="shared" si="571"/>
        <v>6.7199999999999996E-2</v>
      </c>
      <c r="AH364" s="109">
        <f t="shared" si="641"/>
        <v>7.1999999999999995E-2</v>
      </c>
      <c r="AI364" s="110">
        <f t="shared" si="642"/>
        <v>180</v>
      </c>
      <c r="AJ364" s="110">
        <f t="shared" si="643"/>
        <v>60</v>
      </c>
      <c r="AK364" s="108">
        <f t="shared" si="644"/>
        <v>1E-3</v>
      </c>
      <c r="AL364" s="110">
        <f t="shared" si="645"/>
        <v>3</v>
      </c>
      <c r="AM364" s="110">
        <f t="shared" si="646"/>
        <v>1500</v>
      </c>
      <c r="AN364" s="108">
        <f t="shared" si="647"/>
        <v>0.1</v>
      </c>
      <c r="AO364" s="186" t="str">
        <f t="shared" si="648"/>
        <v>NaN</v>
      </c>
    </row>
    <row r="365" spans="1:41" x14ac:dyDescent="0.2">
      <c r="A365" s="3" t="s">
        <v>296</v>
      </c>
      <c r="B365" s="3" t="s">
        <v>296</v>
      </c>
      <c r="C365" s="52">
        <v>35114</v>
      </c>
      <c r="D365" s="105">
        <v>57.706000000000003</v>
      </c>
      <c r="E365" s="105">
        <v>18.809999999999999</v>
      </c>
      <c r="F365" s="20">
        <v>8195</v>
      </c>
      <c r="G365" s="18">
        <v>0</v>
      </c>
      <c r="H365" s="53">
        <v>8</v>
      </c>
      <c r="I365" s="167">
        <f t="shared" si="649"/>
        <v>-0.311</v>
      </c>
      <c r="J365" s="104">
        <f t="shared" si="649"/>
        <v>0.45800000000000002</v>
      </c>
      <c r="K365" s="104">
        <f t="shared" si="649"/>
        <v>5.8999999999999997E-2</v>
      </c>
      <c r="L365" s="105">
        <f t="shared" si="650"/>
        <v>9.9099999999999994E-2</v>
      </c>
      <c r="M365" s="105">
        <f t="shared" si="650"/>
        <v>5.6300000000000003E-2</v>
      </c>
      <c r="N365" s="105">
        <f t="shared" si="650"/>
        <v>6.2E-2</v>
      </c>
      <c r="O365" s="20">
        <f t="shared" si="651"/>
        <v>180</v>
      </c>
      <c r="P365" s="20">
        <f t="shared" si="651"/>
        <v>60</v>
      </c>
      <c r="Q365" s="104">
        <f t="shared" si="652"/>
        <v>1E-3</v>
      </c>
      <c r="R365" s="20">
        <f t="shared" si="653"/>
        <v>3</v>
      </c>
      <c r="S365" s="20">
        <f t="shared" si="653"/>
        <v>1500</v>
      </c>
      <c r="T365" s="104">
        <f t="shared" si="654"/>
        <v>0.1</v>
      </c>
      <c r="U365" s="53" t="s">
        <v>282</v>
      </c>
      <c r="V365" s="44"/>
      <c r="W365" s="58">
        <f t="shared" si="655"/>
        <v>35114</v>
      </c>
      <c r="X365" s="102">
        <f t="shared" si="631"/>
        <v>57.706000000000003</v>
      </c>
      <c r="Y365" s="102">
        <f t="shared" si="632"/>
        <v>18.809999999999999</v>
      </c>
      <c r="Z365" s="21">
        <f t="shared" si="633"/>
        <v>8195</v>
      </c>
      <c r="AA365" s="44">
        <f t="shared" si="634"/>
        <v>0</v>
      </c>
      <c r="AB365" s="21">
        <f t="shared" si="576"/>
        <v>8</v>
      </c>
      <c r="AC365" s="119">
        <f>ROUND(I365+mwreg!$G$38/100,3)</f>
        <v>-0.221</v>
      </c>
      <c r="AD365" s="108">
        <f>ROUND(J365+mwreg!$G$38/100,3)</f>
        <v>0.54800000000000004</v>
      </c>
      <c r="AE365" s="108">
        <f>ROUND(K365+mwreg!$G$38/100,3)</f>
        <v>0.14899999999999999</v>
      </c>
      <c r="AF365" s="102">
        <f t="shared" si="656"/>
        <v>9.9099999999999994E-2</v>
      </c>
      <c r="AG365" s="102">
        <f t="shared" si="571"/>
        <v>5.6300000000000003E-2</v>
      </c>
      <c r="AH365" s="109">
        <f t="shared" si="641"/>
        <v>6.2E-2</v>
      </c>
      <c r="AI365" s="110">
        <f t="shared" si="642"/>
        <v>180</v>
      </c>
      <c r="AJ365" s="110">
        <f t="shared" si="643"/>
        <v>60</v>
      </c>
      <c r="AK365" s="108">
        <f t="shared" si="644"/>
        <v>1E-3</v>
      </c>
      <c r="AL365" s="110">
        <f t="shared" si="645"/>
        <v>3</v>
      </c>
      <c r="AM365" s="110">
        <f t="shared" si="646"/>
        <v>1500</v>
      </c>
      <c r="AN365" s="108">
        <f t="shared" si="647"/>
        <v>0.1</v>
      </c>
      <c r="AO365" s="186" t="str">
        <f t="shared" si="648"/>
        <v>NaN</v>
      </c>
    </row>
    <row r="366" spans="1:41" x14ac:dyDescent="0.2">
      <c r="A366" s="3" t="s">
        <v>296</v>
      </c>
      <c r="B366" s="3" t="s">
        <v>296</v>
      </c>
      <c r="C366" s="52">
        <v>35114</v>
      </c>
      <c r="D366" s="105">
        <v>57.706000000000003</v>
      </c>
      <c r="E366" s="105">
        <v>18.809999999999999</v>
      </c>
      <c r="F366" s="20">
        <v>8195</v>
      </c>
      <c r="G366" s="18">
        <v>0</v>
      </c>
      <c r="H366" s="53">
        <v>9</v>
      </c>
      <c r="I366" s="167">
        <f t="shared" si="649"/>
        <v>-0.40799999999999997</v>
      </c>
      <c r="J366" s="104">
        <f t="shared" si="649"/>
        <v>0.57699999999999996</v>
      </c>
      <c r="K366" s="104">
        <f t="shared" si="649"/>
        <v>7.8E-2</v>
      </c>
      <c r="L366" s="105">
        <f t="shared" si="650"/>
        <v>0.1159</v>
      </c>
      <c r="M366" s="105">
        <f t="shared" si="650"/>
        <v>0.1195</v>
      </c>
      <c r="N366" s="105">
        <f t="shared" si="650"/>
        <v>0.126</v>
      </c>
      <c r="O366" s="20">
        <f t="shared" si="651"/>
        <v>180</v>
      </c>
      <c r="P366" s="20">
        <f t="shared" si="651"/>
        <v>60</v>
      </c>
      <c r="Q366" s="104">
        <f t="shared" si="652"/>
        <v>1E-3</v>
      </c>
      <c r="R366" s="20">
        <f t="shared" si="653"/>
        <v>3</v>
      </c>
      <c r="S366" s="20">
        <f t="shared" si="653"/>
        <v>1500</v>
      </c>
      <c r="T366" s="104">
        <f t="shared" si="654"/>
        <v>0.1</v>
      </c>
      <c r="U366" s="53" t="s">
        <v>282</v>
      </c>
      <c r="V366" s="44"/>
      <c r="W366" s="58">
        <f t="shared" si="655"/>
        <v>35114</v>
      </c>
      <c r="X366" s="102">
        <f t="shared" si="631"/>
        <v>57.706000000000003</v>
      </c>
      <c r="Y366" s="102">
        <f t="shared" si="632"/>
        <v>18.809999999999999</v>
      </c>
      <c r="Z366" s="21">
        <f t="shared" si="633"/>
        <v>8195</v>
      </c>
      <c r="AA366" s="44">
        <f t="shared" si="634"/>
        <v>0</v>
      </c>
      <c r="AB366" s="21">
        <f t="shared" si="576"/>
        <v>9</v>
      </c>
      <c r="AC366" s="119">
        <f>ROUND(I366+mwreg!$G$38/100,3)</f>
        <v>-0.318</v>
      </c>
      <c r="AD366" s="108">
        <f>ROUND(J366+mwreg!$G$38/100,3)</f>
        <v>0.66700000000000004</v>
      </c>
      <c r="AE366" s="108">
        <f>ROUND(K366+mwreg!$G$38/100,3)</f>
        <v>0.16800000000000001</v>
      </c>
      <c r="AF366" s="102">
        <f t="shared" si="656"/>
        <v>0.1159</v>
      </c>
      <c r="AG366" s="102">
        <f t="shared" si="571"/>
        <v>0.1195</v>
      </c>
      <c r="AH366" s="109">
        <f t="shared" si="641"/>
        <v>0.126</v>
      </c>
      <c r="AI366" s="110">
        <f t="shared" si="642"/>
        <v>180</v>
      </c>
      <c r="AJ366" s="110">
        <f t="shared" si="643"/>
        <v>60</v>
      </c>
      <c r="AK366" s="108">
        <f t="shared" si="644"/>
        <v>1E-3</v>
      </c>
      <c r="AL366" s="110">
        <f t="shared" si="645"/>
        <v>3</v>
      </c>
      <c r="AM366" s="110">
        <f t="shared" si="646"/>
        <v>1500</v>
      </c>
      <c r="AN366" s="108">
        <f t="shared" si="647"/>
        <v>0.1</v>
      </c>
      <c r="AO366" s="186" t="str">
        <f t="shared" si="648"/>
        <v>NaN</v>
      </c>
    </row>
    <row r="367" spans="1:41" x14ac:dyDescent="0.2">
      <c r="A367" s="3" t="s">
        <v>296</v>
      </c>
      <c r="B367" s="3" t="s">
        <v>296</v>
      </c>
      <c r="C367" s="52">
        <v>35114</v>
      </c>
      <c r="D367" s="105">
        <v>57.706000000000003</v>
      </c>
      <c r="E367" s="105">
        <v>18.809999999999999</v>
      </c>
      <c r="F367" s="20">
        <v>8195</v>
      </c>
      <c r="G367" s="18">
        <v>0</v>
      </c>
      <c r="H367" s="53">
        <v>10</v>
      </c>
      <c r="I367" s="167">
        <f t="shared" si="649"/>
        <v>-0.51200000000000001</v>
      </c>
      <c r="J367" s="104">
        <f t="shared" si="649"/>
        <v>0.84699999999999998</v>
      </c>
      <c r="K367" s="104">
        <f t="shared" si="649"/>
        <v>3.5000000000000003E-2</v>
      </c>
      <c r="L367" s="105">
        <f t="shared" si="650"/>
        <v>0.18260000000000001</v>
      </c>
      <c r="M367" s="105">
        <f t="shared" si="650"/>
        <v>6.2199999999999998E-2</v>
      </c>
      <c r="N367" s="105">
        <f t="shared" si="650"/>
        <v>6.8000000000000005E-2</v>
      </c>
      <c r="O367" s="20">
        <f t="shared" si="651"/>
        <v>180</v>
      </c>
      <c r="P367" s="20">
        <f t="shared" si="651"/>
        <v>60</v>
      </c>
      <c r="Q367" s="104">
        <f t="shared" si="652"/>
        <v>1E-3</v>
      </c>
      <c r="R367" s="20">
        <f t="shared" si="653"/>
        <v>3</v>
      </c>
      <c r="S367" s="20">
        <f t="shared" si="653"/>
        <v>1500</v>
      </c>
      <c r="T367" s="104">
        <f t="shared" si="654"/>
        <v>0.1</v>
      </c>
      <c r="U367" s="53" t="s">
        <v>282</v>
      </c>
      <c r="V367" s="44"/>
      <c r="W367" s="58">
        <f t="shared" si="655"/>
        <v>35114</v>
      </c>
      <c r="X367" s="102">
        <f t="shared" si="631"/>
        <v>57.706000000000003</v>
      </c>
      <c r="Y367" s="102">
        <f t="shared" si="632"/>
        <v>18.809999999999999</v>
      </c>
      <c r="Z367" s="21">
        <f t="shared" si="633"/>
        <v>8195</v>
      </c>
      <c r="AA367" s="44">
        <f t="shared" si="634"/>
        <v>0</v>
      </c>
      <c r="AB367" s="21">
        <f t="shared" si="576"/>
        <v>10</v>
      </c>
      <c r="AC367" s="119">
        <f>ROUND(I367+mwreg!$G$38/100,3)</f>
        <v>-0.42199999999999999</v>
      </c>
      <c r="AD367" s="108">
        <f>ROUND(J367+mwreg!$G$38/100,3)</f>
        <v>0.93700000000000006</v>
      </c>
      <c r="AE367" s="108">
        <f>ROUND(K367+mwreg!$G$38/100,3)</f>
        <v>0.125</v>
      </c>
      <c r="AF367" s="102">
        <f t="shared" si="656"/>
        <v>0.18260000000000001</v>
      </c>
      <c r="AG367" s="102">
        <f t="shared" si="571"/>
        <v>6.2199999999999998E-2</v>
      </c>
      <c r="AH367" s="109">
        <f t="shared" si="641"/>
        <v>6.8000000000000005E-2</v>
      </c>
      <c r="AI367" s="110">
        <f t="shared" si="642"/>
        <v>180</v>
      </c>
      <c r="AJ367" s="110">
        <f t="shared" si="643"/>
        <v>60</v>
      </c>
      <c r="AK367" s="108">
        <f t="shared" si="644"/>
        <v>1E-3</v>
      </c>
      <c r="AL367" s="110">
        <f t="shared" si="645"/>
        <v>3</v>
      </c>
      <c r="AM367" s="110">
        <f t="shared" si="646"/>
        <v>1500</v>
      </c>
      <c r="AN367" s="108">
        <f t="shared" si="647"/>
        <v>0.1</v>
      </c>
      <c r="AO367" s="186" t="str">
        <f t="shared" si="648"/>
        <v>NaN</v>
      </c>
    </row>
    <row r="368" spans="1:41" x14ac:dyDescent="0.2">
      <c r="A368" s="3" t="s">
        <v>296</v>
      </c>
      <c r="B368" s="3" t="s">
        <v>296</v>
      </c>
      <c r="C368" s="52">
        <v>35114</v>
      </c>
      <c r="D368" s="105">
        <v>57.706000000000003</v>
      </c>
      <c r="E368" s="105">
        <v>18.809999999999999</v>
      </c>
      <c r="F368" s="20">
        <v>8195</v>
      </c>
      <c r="G368" s="18">
        <v>0</v>
      </c>
      <c r="H368" s="53">
        <v>11</v>
      </c>
      <c r="I368" s="167">
        <f t="shared" si="649"/>
        <v>-0.53600000000000003</v>
      </c>
      <c r="J368" s="104">
        <f t="shared" si="649"/>
        <v>0.63700000000000001</v>
      </c>
      <c r="K368" s="104">
        <f t="shared" si="649"/>
        <v>5.6000000000000001E-2</v>
      </c>
      <c r="L368" s="105">
        <f t="shared" si="650"/>
        <v>0.1963</v>
      </c>
      <c r="M368" s="105">
        <f t="shared" si="650"/>
        <v>0.1222</v>
      </c>
      <c r="N368" s="105">
        <f t="shared" si="650"/>
        <v>0.127</v>
      </c>
      <c r="O368" s="20">
        <f t="shared" si="651"/>
        <v>180</v>
      </c>
      <c r="P368" s="20">
        <f t="shared" si="651"/>
        <v>60</v>
      </c>
      <c r="Q368" s="104">
        <f t="shared" si="652"/>
        <v>1E-3</v>
      </c>
      <c r="R368" s="20">
        <f t="shared" si="653"/>
        <v>3</v>
      </c>
      <c r="S368" s="20">
        <f t="shared" si="653"/>
        <v>1500</v>
      </c>
      <c r="T368" s="104">
        <f t="shared" si="654"/>
        <v>0.1</v>
      </c>
      <c r="U368" s="53" t="s">
        <v>282</v>
      </c>
      <c r="V368" s="44"/>
      <c r="W368" s="58">
        <f t="shared" si="655"/>
        <v>35114</v>
      </c>
      <c r="X368" s="102">
        <f t="shared" si="631"/>
        <v>57.706000000000003</v>
      </c>
      <c r="Y368" s="102">
        <f t="shared" si="632"/>
        <v>18.809999999999999</v>
      </c>
      <c r="Z368" s="21">
        <f t="shared" si="633"/>
        <v>8195</v>
      </c>
      <c r="AA368" s="44">
        <f t="shared" si="634"/>
        <v>0</v>
      </c>
      <c r="AB368" s="21">
        <f t="shared" si="576"/>
        <v>11</v>
      </c>
      <c r="AC368" s="119">
        <f>ROUND(I368+mwreg!$G$38/100,3)</f>
        <v>-0.44600000000000001</v>
      </c>
      <c r="AD368" s="108">
        <f>ROUND(J368+mwreg!$G$38/100,3)</f>
        <v>0.72699999999999998</v>
      </c>
      <c r="AE368" s="108">
        <f>ROUND(K368+mwreg!$G$38/100,3)</f>
        <v>0.14599999999999999</v>
      </c>
      <c r="AF368" s="102">
        <f t="shared" si="656"/>
        <v>0.1963</v>
      </c>
      <c r="AG368" s="102">
        <f t="shared" si="571"/>
        <v>0.1222</v>
      </c>
      <c r="AH368" s="109">
        <f t="shared" si="641"/>
        <v>0.127</v>
      </c>
      <c r="AI368" s="110">
        <f t="shared" si="642"/>
        <v>180</v>
      </c>
      <c r="AJ368" s="110">
        <f t="shared" si="643"/>
        <v>60</v>
      </c>
      <c r="AK368" s="108">
        <f t="shared" si="644"/>
        <v>1E-3</v>
      </c>
      <c r="AL368" s="110">
        <f t="shared" si="645"/>
        <v>3</v>
      </c>
      <c r="AM368" s="110">
        <f t="shared" si="646"/>
        <v>1500</v>
      </c>
      <c r="AN368" s="108">
        <f t="shared" si="647"/>
        <v>0.1</v>
      </c>
      <c r="AO368" s="186" t="str">
        <f t="shared" si="648"/>
        <v>NaN</v>
      </c>
    </row>
    <row r="369" spans="1:41" x14ac:dyDescent="0.2">
      <c r="A369" s="3" t="s">
        <v>296</v>
      </c>
      <c r="B369" s="3" t="s">
        <v>296</v>
      </c>
      <c r="C369" s="52">
        <v>35114</v>
      </c>
      <c r="D369" s="105">
        <v>57.706000000000003</v>
      </c>
      <c r="E369" s="105">
        <v>18.809999999999999</v>
      </c>
      <c r="F369" s="20">
        <v>8195</v>
      </c>
      <c r="G369" s="18">
        <v>0</v>
      </c>
      <c r="H369" s="53">
        <v>12</v>
      </c>
      <c r="I369" s="167">
        <f t="shared" si="649"/>
        <v>-0.54100000000000004</v>
      </c>
      <c r="J369" s="104">
        <f t="shared" si="649"/>
        <v>0.89700000000000002</v>
      </c>
      <c r="K369" s="104">
        <f t="shared" si="649"/>
        <v>0.155</v>
      </c>
      <c r="L369" s="105">
        <f t="shared" si="650"/>
        <v>0.20810000000000001</v>
      </c>
      <c r="M369" s="105">
        <f t="shared" si="650"/>
        <v>0.11020000000000001</v>
      </c>
      <c r="N369" s="105">
        <f t="shared" si="650"/>
        <v>0.115</v>
      </c>
      <c r="O369" s="20">
        <f t="shared" si="651"/>
        <v>180</v>
      </c>
      <c r="P369" s="20">
        <f t="shared" si="651"/>
        <v>60</v>
      </c>
      <c r="Q369" s="104">
        <f t="shared" si="652"/>
        <v>1E-3</v>
      </c>
      <c r="R369" s="20">
        <f t="shared" si="653"/>
        <v>3</v>
      </c>
      <c r="S369" s="20">
        <f t="shared" si="653"/>
        <v>1500</v>
      </c>
      <c r="T369" s="104">
        <f t="shared" si="654"/>
        <v>0.1</v>
      </c>
      <c r="U369" s="53" t="s">
        <v>282</v>
      </c>
      <c r="V369" s="44"/>
      <c r="W369" s="58">
        <f t="shared" si="655"/>
        <v>35114</v>
      </c>
      <c r="X369" s="102">
        <f t="shared" si="631"/>
        <v>57.706000000000003</v>
      </c>
      <c r="Y369" s="102">
        <f t="shared" si="632"/>
        <v>18.809999999999999</v>
      </c>
      <c r="Z369" s="21">
        <f t="shared" si="633"/>
        <v>8195</v>
      </c>
      <c r="AA369" s="44">
        <f t="shared" si="634"/>
        <v>0</v>
      </c>
      <c r="AB369" s="21">
        <f t="shared" si="576"/>
        <v>12</v>
      </c>
      <c r="AC369" s="119">
        <f>ROUND(I369+mwreg!$G$38/100,3)</f>
        <v>-0.45100000000000001</v>
      </c>
      <c r="AD369" s="108">
        <f>ROUND(J369+mwreg!$G$38/100,3)</f>
        <v>0.98699999999999999</v>
      </c>
      <c r="AE369" s="108">
        <f>ROUND(K369+mwreg!$G$38/100,3)</f>
        <v>0.245</v>
      </c>
      <c r="AF369" s="102">
        <f t="shared" si="656"/>
        <v>0.20810000000000001</v>
      </c>
      <c r="AG369" s="102">
        <f t="shared" si="571"/>
        <v>0.11020000000000001</v>
      </c>
      <c r="AH369" s="109">
        <f t="shared" si="641"/>
        <v>0.115</v>
      </c>
      <c r="AI369" s="110">
        <f t="shared" si="642"/>
        <v>180</v>
      </c>
      <c r="AJ369" s="110">
        <f t="shared" si="643"/>
        <v>60</v>
      </c>
      <c r="AK369" s="108">
        <f t="shared" si="644"/>
        <v>1E-3</v>
      </c>
      <c r="AL369" s="110">
        <f t="shared" si="645"/>
        <v>3</v>
      </c>
      <c r="AM369" s="110">
        <f t="shared" si="646"/>
        <v>1500</v>
      </c>
      <c r="AN369" s="108">
        <f t="shared" si="647"/>
        <v>0.1</v>
      </c>
      <c r="AO369" s="186" t="str">
        <f t="shared" si="648"/>
        <v>NaN</v>
      </c>
    </row>
    <row r="370" spans="1:41" x14ac:dyDescent="0.2">
      <c r="A370" s="3" t="str">
        <f>stat_uppg!A39</f>
        <v>2080/33060</v>
      </c>
      <c r="B370" s="3" t="str">
        <f>stat_uppg!B39</f>
        <v>VISBY (SMHI)</v>
      </c>
      <c r="C370" s="125">
        <v>2080</v>
      </c>
      <c r="D370" s="129">
        <v>57.639200000000002</v>
      </c>
      <c r="E370" s="129">
        <v>18.284400000000002</v>
      </c>
      <c r="F370" s="136">
        <v>8195</v>
      </c>
      <c r="G370" s="126">
        <v>0</v>
      </c>
      <c r="H370" s="127">
        <v>1</v>
      </c>
      <c r="I370" s="168">
        <v>-0.59899999999999998</v>
      </c>
      <c r="J370" s="128">
        <v>0.81699999999999995</v>
      </c>
      <c r="K370" s="128">
        <v>0.127</v>
      </c>
      <c r="L370" s="129">
        <v>0.20300000000000001</v>
      </c>
      <c r="M370" s="129">
        <v>5.1900000000000002E-2</v>
      </c>
      <c r="N370" s="129">
        <v>5.3999999999999999E-2</v>
      </c>
      <c r="O370" s="136">
        <v>180</v>
      </c>
      <c r="P370" s="136">
        <v>60</v>
      </c>
      <c r="Q370" s="128">
        <v>1E-3</v>
      </c>
      <c r="R370" s="136">
        <v>3</v>
      </c>
      <c r="S370" s="136">
        <v>1500</v>
      </c>
      <c r="T370" s="128">
        <v>0.1</v>
      </c>
      <c r="U370" s="127">
        <v>284550</v>
      </c>
      <c r="V370" s="130"/>
      <c r="W370" s="131">
        <f t="shared" si="630"/>
        <v>2080</v>
      </c>
      <c r="X370" s="132">
        <f t="shared" si="631"/>
        <v>57.639200000000002</v>
      </c>
      <c r="Y370" s="132">
        <f t="shared" si="632"/>
        <v>18.284400000000002</v>
      </c>
      <c r="Z370" s="133">
        <f t="shared" si="633"/>
        <v>8195</v>
      </c>
      <c r="AA370" s="130">
        <f t="shared" si="634"/>
        <v>0</v>
      </c>
      <c r="AB370" s="133">
        <f t="shared" si="576"/>
        <v>1</v>
      </c>
      <c r="AC370" s="137">
        <f>ROUND(I370+mwreg!$G$39/100,3)</f>
        <v>-0.50900000000000001</v>
      </c>
      <c r="AD370" s="134">
        <f>ROUND(J370+mwreg!$G$39/100,3)</f>
        <v>0.90700000000000003</v>
      </c>
      <c r="AE370" s="134">
        <f>ROUND(K370+mwreg!$G$39/100,3)</f>
        <v>0.217</v>
      </c>
      <c r="AF370" s="100">
        <f t="shared" si="570"/>
        <v>0.20300000000000001</v>
      </c>
      <c r="AG370" s="100">
        <f t="shared" si="571"/>
        <v>5.1900000000000002E-2</v>
      </c>
      <c r="AH370" s="164">
        <f t="shared" si="641"/>
        <v>5.3999999999999999E-2</v>
      </c>
      <c r="AI370" s="135">
        <f t="shared" si="642"/>
        <v>180</v>
      </c>
      <c r="AJ370" s="135">
        <f t="shared" si="643"/>
        <v>60</v>
      </c>
      <c r="AK370" s="134">
        <f t="shared" si="644"/>
        <v>1E-3</v>
      </c>
      <c r="AL370" s="135">
        <f t="shared" si="645"/>
        <v>3</v>
      </c>
      <c r="AM370" s="135">
        <f t="shared" si="646"/>
        <v>1500</v>
      </c>
      <c r="AN370" s="134">
        <f t="shared" si="647"/>
        <v>0.1</v>
      </c>
      <c r="AO370" s="187">
        <f t="shared" si="648"/>
        <v>284550</v>
      </c>
    </row>
    <row r="371" spans="1:41" x14ac:dyDescent="0.2">
      <c r="A371" s="3" t="s">
        <v>296</v>
      </c>
      <c r="B371" s="3" t="s">
        <v>296</v>
      </c>
      <c r="C371" s="125">
        <v>2080</v>
      </c>
      <c r="D371" s="129">
        <v>57.639200000000002</v>
      </c>
      <c r="E371" s="129">
        <v>18.284400000000002</v>
      </c>
      <c r="F371" s="136">
        <v>8195</v>
      </c>
      <c r="G371" s="126">
        <v>0</v>
      </c>
      <c r="H371" s="127">
        <v>2</v>
      </c>
      <c r="I371" s="168">
        <v>-0.629</v>
      </c>
      <c r="J371" s="128">
        <v>0.79700000000000004</v>
      </c>
      <c r="K371" s="128">
        <v>4.7E-2</v>
      </c>
      <c r="L371" s="129">
        <v>0.23669999999999999</v>
      </c>
      <c r="M371" s="129">
        <v>8.1799999999999998E-2</v>
      </c>
      <c r="N371" s="129">
        <v>8.4000000000000005E-2</v>
      </c>
      <c r="O371" s="136">
        <v>180</v>
      </c>
      <c r="P371" s="136">
        <v>60</v>
      </c>
      <c r="Q371" s="128">
        <v>1E-3</v>
      </c>
      <c r="R371" s="136">
        <v>3</v>
      </c>
      <c r="S371" s="136">
        <v>1500</v>
      </c>
      <c r="T371" s="128">
        <v>0.1</v>
      </c>
      <c r="U371" s="127">
        <v>274208</v>
      </c>
      <c r="V371" s="130"/>
      <c r="W371" s="131">
        <f t="shared" si="630"/>
        <v>2080</v>
      </c>
      <c r="X371" s="132">
        <f t="shared" si="631"/>
        <v>57.639200000000002</v>
      </c>
      <c r="Y371" s="132">
        <f t="shared" si="632"/>
        <v>18.284400000000002</v>
      </c>
      <c r="Z371" s="133">
        <f t="shared" si="633"/>
        <v>8195</v>
      </c>
      <c r="AA371" s="130">
        <f t="shared" si="634"/>
        <v>0</v>
      </c>
      <c r="AB371" s="133">
        <f t="shared" si="576"/>
        <v>2</v>
      </c>
      <c r="AC371" s="137">
        <f>ROUND(I371+mwreg!$G$39/100,3)</f>
        <v>-0.53900000000000003</v>
      </c>
      <c r="AD371" s="134">
        <f>ROUND(J371+mwreg!$G$39/100,3)</f>
        <v>0.88700000000000001</v>
      </c>
      <c r="AE371" s="134">
        <f>ROUND(K371+mwreg!$G$39/100,3)</f>
        <v>0.13700000000000001</v>
      </c>
      <c r="AF371" s="100">
        <f t="shared" si="570"/>
        <v>0.23669999999999999</v>
      </c>
      <c r="AG371" s="100">
        <f t="shared" si="571"/>
        <v>8.1799999999999998E-2</v>
      </c>
      <c r="AH371" s="164">
        <f t="shared" si="641"/>
        <v>8.4000000000000005E-2</v>
      </c>
      <c r="AI371" s="135">
        <f t="shared" si="642"/>
        <v>180</v>
      </c>
      <c r="AJ371" s="135">
        <f t="shared" si="643"/>
        <v>60</v>
      </c>
      <c r="AK371" s="134">
        <f t="shared" si="644"/>
        <v>1E-3</v>
      </c>
      <c r="AL371" s="135">
        <f t="shared" si="645"/>
        <v>3</v>
      </c>
      <c r="AM371" s="135">
        <f t="shared" si="646"/>
        <v>1500</v>
      </c>
      <c r="AN371" s="134">
        <f t="shared" si="647"/>
        <v>0.1</v>
      </c>
      <c r="AO371" s="187">
        <f t="shared" si="648"/>
        <v>274208</v>
      </c>
    </row>
    <row r="372" spans="1:41" x14ac:dyDescent="0.2">
      <c r="A372" s="3" t="s">
        <v>296</v>
      </c>
      <c r="B372" s="3" t="s">
        <v>296</v>
      </c>
      <c r="C372" s="125">
        <v>2080</v>
      </c>
      <c r="D372" s="129">
        <v>57.639200000000002</v>
      </c>
      <c r="E372" s="129">
        <v>18.284400000000002</v>
      </c>
      <c r="F372" s="136">
        <v>8195</v>
      </c>
      <c r="G372" s="126">
        <v>0</v>
      </c>
      <c r="H372" s="127">
        <v>3</v>
      </c>
      <c r="I372" s="168">
        <v>-0.71699999999999997</v>
      </c>
      <c r="J372" s="128">
        <v>0.71499999999999997</v>
      </c>
      <c r="K372" s="128">
        <v>-3.1E-2</v>
      </c>
      <c r="L372" s="129">
        <v>0.2016</v>
      </c>
      <c r="M372" s="129">
        <v>7.1599999999999997E-2</v>
      </c>
      <c r="N372" s="129">
        <v>7.3999999999999996E-2</v>
      </c>
      <c r="O372" s="136">
        <v>180</v>
      </c>
      <c r="P372" s="136">
        <v>60</v>
      </c>
      <c r="Q372" s="128">
        <v>1E-3</v>
      </c>
      <c r="R372" s="136">
        <v>3</v>
      </c>
      <c r="S372" s="136">
        <v>1500</v>
      </c>
      <c r="T372" s="128">
        <v>0.1</v>
      </c>
      <c r="U372" s="127">
        <v>292752</v>
      </c>
      <c r="V372" s="130"/>
      <c r="W372" s="131">
        <f t="shared" si="630"/>
        <v>2080</v>
      </c>
      <c r="X372" s="132">
        <f t="shared" si="631"/>
        <v>57.639200000000002</v>
      </c>
      <c r="Y372" s="132">
        <f t="shared" si="632"/>
        <v>18.284400000000002</v>
      </c>
      <c r="Z372" s="133">
        <f t="shared" si="633"/>
        <v>8195</v>
      </c>
      <c r="AA372" s="130">
        <f t="shared" si="634"/>
        <v>0</v>
      </c>
      <c r="AB372" s="133">
        <f t="shared" si="576"/>
        <v>3</v>
      </c>
      <c r="AC372" s="137">
        <f>ROUND(I372+mwreg!$G$39/100,3)</f>
        <v>-0.627</v>
      </c>
      <c r="AD372" s="134">
        <f>ROUND(J372+mwreg!$G$39/100,3)</f>
        <v>0.80500000000000005</v>
      </c>
      <c r="AE372" s="134">
        <f>ROUND(K372+mwreg!$G$39/100,3)</f>
        <v>5.8999999999999997E-2</v>
      </c>
      <c r="AF372" s="100">
        <f t="shared" si="570"/>
        <v>0.2016</v>
      </c>
      <c r="AG372" s="100">
        <f t="shared" si="571"/>
        <v>7.1599999999999997E-2</v>
      </c>
      <c r="AH372" s="164">
        <f t="shared" si="641"/>
        <v>7.3999999999999996E-2</v>
      </c>
      <c r="AI372" s="135">
        <f t="shared" si="642"/>
        <v>180</v>
      </c>
      <c r="AJ372" s="135">
        <f t="shared" si="643"/>
        <v>60</v>
      </c>
      <c r="AK372" s="134">
        <f t="shared" si="644"/>
        <v>1E-3</v>
      </c>
      <c r="AL372" s="135">
        <f t="shared" si="645"/>
        <v>3</v>
      </c>
      <c r="AM372" s="135">
        <f t="shared" si="646"/>
        <v>1500</v>
      </c>
      <c r="AN372" s="134">
        <f t="shared" si="647"/>
        <v>0.1</v>
      </c>
      <c r="AO372" s="187">
        <f t="shared" si="648"/>
        <v>292752</v>
      </c>
    </row>
    <row r="373" spans="1:41" x14ac:dyDescent="0.2">
      <c r="A373" s="3" t="s">
        <v>296</v>
      </c>
      <c r="B373" s="3" t="s">
        <v>296</v>
      </c>
      <c r="C373" s="125">
        <v>2080</v>
      </c>
      <c r="D373" s="129">
        <v>57.639200000000002</v>
      </c>
      <c r="E373" s="129">
        <v>18.284400000000002</v>
      </c>
      <c r="F373" s="136">
        <v>8195</v>
      </c>
      <c r="G373" s="126">
        <v>0</v>
      </c>
      <c r="H373" s="127">
        <v>4</v>
      </c>
      <c r="I373" s="168">
        <v>-0.58199999999999996</v>
      </c>
      <c r="J373" s="128">
        <v>0.52300000000000002</v>
      </c>
      <c r="K373" s="128">
        <v>-0.06</v>
      </c>
      <c r="L373" s="129">
        <v>0.14779999999999999</v>
      </c>
      <c r="M373" s="129">
        <v>7.0599999999999996E-2</v>
      </c>
      <c r="N373" s="129">
        <v>7.2999999999999995E-2</v>
      </c>
      <c r="O373" s="136">
        <v>180</v>
      </c>
      <c r="P373" s="136">
        <v>60</v>
      </c>
      <c r="Q373" s="128">
        <v>1E-3</v>
      </c>
      <c r="R373" s="136">
        <v>3</v>
      </c>
      <c r="S373" s="136">
        <v>1500</v>
      </c>
      <c r="T373" s="128">
        <v>0.1</v>
      </c>
      <c r="U373" s="127">
        <v>285791</v>
      </c>
      <c r="V373" s="130"/>
      <c r="W373" s="131">
        <f t="shared" si="630"/>
        <v>2080</v>
      </c>
      <c r="X373" s="132">
        <f t="shared" si="631"/>
        <v>57.639200000000002</v>
      </c>
      <c r="Y373" s="132">
        <f t="shared" si="632"/>
        <v>18.284400000000002</v>
      </c>
      <c r="Z373" s="133">
        <f t="shared" si="633"/>
        <v>8195</v>
      </c>
      <c r="AA373" s="130">
        <f t="shared" si="634"/>
        <v>0</v>
      </c>
      <c r="AB373" s="133">
        <f t="shared" si="576"/>
        <v>4</v>
      </c>
      <c r="AC373" s="137">
        <f>ROUND(I373+mwreg!$G$39/100,3)</f>
        <v>-0.49199999999999999</v>
      </c>
      <c r="AD373" s="134">
        <f>ROUND(J373+mwreg!$G$39/100,3)</f>
        <v>0.61299999999999999</v>
      </c>
      <c r="AE373" s="134">
        <f>ROUND(K373+mwreg!$G$39/100,3)</f>
        <v>0.03</v>
      </c>
      <c r="AF373" s="100">
        <f t="shared" si="570"/>
        <v>0.14779999999999999</v>
      </c>
      <c r="AG373" s="100">
        <f t="shared" si="571"/>
        <v>7.0599999999999996E-2</v>
      </c>
      <c r="AH373" s="164">
        <f t="shared" si="641"/>
        <v>7.2999999999999995E-2</v>
      </c>
      <c r="AI373" s="135">
        <f t="shared" si="642"/>
        <v>180</v>
      </c>
      <c r="AJ373" s="135">
        <f t="shared" si="643"/>
        <v>60</v>
      </c>
      <c r="AK373" s="134">
        <f t="shared" si="644"/>
        <v>1E-3</v>
      </c>
      <c r="AL373" s="135">
        <f t="shared" si="645"/>
        <v>3</v>
      </c>
      <c r="AM373" s="135">
        <f t="shared" si="646"/>
        <v>1500</v>
      </c>
      <c r="AN373" s="134">
        <f t="shared" si="647"/>
        <v>0.1</v>
      </c>
      <c r="AO373" s="187">
        <f t="shared" si="648"/>
        <v>285791</v>
      </c>
    </row>
    <row r="374" spans="1:41" x14ac:dyDescent="0.2">
      <c r="A374" s="3" t="s">
        <v>296</v>
      </c>
      <c r="B374" s="3" t="s">
        <v>296</v>
      </c>
      <c r="C374" s="125">
        <v>2080</v>
      </c>
      <c r="D374" s="129">
        <v>57.639200000000002</v>
      </c>
      <c r="E374" s="129">
        <v>18.284400000000002</v>
      </c>
      <c r="F374" s="136">
        <v>8195</v>
      </c>
      <c r="G374" s="126">
        <v>0</v>
      </c>
      <c r="H374" s="127">
        <v>5</v>
      </c>
      <c r="I374" s="168">
        <v>-0.45100000000000001</v>
      </c>
      <c r="J374" s="128">
        <v>0.25900000000000001</v>
      </c>
      <c r="K374" s="128">
        <v>-7.0000000000000007E-2</v>
      </c>
      <c r="L374" s="129">
        <v>0.1026</v>
      </c>
      <c r="M374" s="129">
        <v>7.8799999999999995E-2</v>
      </c>
      <c r="N374" s="129">
        <v>8.1000000000000003E-2</v>
      </c>
      <c r="O374" s="136">
        <v>180</v>
      </c>
      <c r="P374" s="136">
        <v>60</v>
      </c>
      <c r="Q374" s="128">
        <v>1E-3</v>
      </c>
      <c r="R374" s="136">
        <v>3</v>
      </c>
      <c r="S374" s="136">
        <v>1500</v>
      </c>
      <c r="T374" s="128">
        <v>0.1</v>
      </c>
      <c r="U374" s="127">
        <v>298187</v>
      </c>
      <c r="V374" s="130"/>
      <c r="W374" s="131">
        <f t="shared" si="630"/>
        <v>2080</v>
      </c>
      <c r="X374" s="132">
        <f t="shared" si="631"/>
        <v>57.639200000000002</v>
      </c>
      <c r="Y374" s="132">
        <f t="shared" si="632"/>
        <v>18.284400000000002</v>
      </c>
      <c r="Z374" s="133">
        <f t="shared" si="633"/>
        <v>8195</v>
      </c>
      <c r="AA374" s="130">
        <f t="shared" si="634"/>
        <v>0</v>
      </c>
      <c r="AB374" s="133">
        <f t="shared" si="576"/>
        <v>5</v>
      </c>
      <c r="AC374" s="137">
        <f>ROUND(I374+mwreg!$G$39/100,3)</f>
        <v>-0.36099999999999999</v>
      </c>
      <c r="AD374" s="134">
        <f>ROUND(J374+mwreg!$G$39/100,3)</f>
        <v>0.34899999999999998</v>
      </c>
      <c r="AE374" s="134">
        <f>ROUND(K374+mwreg!$G$39/100,3)</f>
        <v>0.02</v>
      </c>
      <c r="AF374" s="100">
        <f t="shared" si="570"/>
        <v>0.1026</v>
      </c>
      <c r="AG374" s="100">
        <f t="shared" si="571"/>
        <v>7.8799999999999995E-2</v>
      </c>
      <c r="AH374" s="164">
        <f t="shared" si="641"/>
        <v>8.1000000000000003E-2</v>
      </c>
      <c r="AI374" s="135">
        <f t="shared" si="642"/>
        <v>180</v>
      </c>
      <c r="AJ374" s="135">
        <f t="shared" si="643"/>
        <v>60</v>
      </c>
      <c r="AK374" s="134">
        <f t="shared" si="644"/>
        <v>1E-3</v>
      </c>
      <c r="AL374" s="135">
        <f t="shared" si="645"/>
        <v>3</v>
      </c>
      <c r="AM374" s="135">
        <f t="shared" si="646"/>
        <v>1500</v>
      </c>
      <c r="AN374" s="134">
        <f t="shared" si="647"/>
        <v>0.1</v>
      </c>
      <c r="AO374" s="187">
        <f t="shared" si="648"/>
        <v>298187</v>
      </c>
    </row>
    <row r="375" spans="1:41" x14ac:dyDescent="0.2">
      <c r="A375" s="3" t="s">
        <v>296</v>
      </c>
      <c r="B375" s="3" t="s">
        <v>296</v>
      </c>
      <c r="C375" s="125">
        <v>2080</v>
      </c>
      <c r="D375" s="129">
        <v>57.639200000000002</v>
      </c>
      <c r="E375" s="129">
        <v>18.284400000000002</v>
      </c>
      <c r="F375" s="136">
        <v>8195</v>
      </c>
      <c r="G375" s="126">
        <v>0</v>
      </c>
      <c r="H375" s="127">
        <v>6</v>
      </c>
      <c r="I375" s="168">
        <v>-0.378</v>
      </c>
      <c r="J375" s="128">
        <v>0.34</v>
      </c>
      <c r="K375" s="128">
        <v>-4.1000000000000002E-2</v>
      </c>
      <c r="L375" s="129">
        <v>0.1193</v>
      </c>
      <c r="M375" s="129">
        <v>5.1299999999999998E-2</v>
      </c>
      <c r="N375" s="129">
        <v>5.3999999999999999E-2</v>
      </c>
      <c r="O375" s="136">
        <v>180</v>
      </c>
      <c r="P375" s="136">
        <v>60</v>
      </c>
      <c r="Q375" s="128">
        <v>1E-3</v>
      </c>
      <c r="R375" s="136">
        <v>3</v>
      </c>
      <c r="S375" s="136">
        <v>1500</v>
      </c>
      <c r="T375" s="128">
        <v>0.1</v>
      </c>
      <c r="U375" s="127">
        <v>279599</v>
      </c>
      <c r="V375" s="130"/>
      <c r="W375" s="131">
        <f t="shared" si="630"/>
        <v>2080</v>
      </c>
      <c r="X375" s="132">
        <f t="shared" si="631"/>
        <v>57.639200000000002</v>
      </c>
      <c r="Y375" s="132">
        <f t="shared" si="632"/>
        <v>18.284400000000002</v>
      </c>
      <c r="Z375" s="133">
        <f t="shared" si="633"/>
        <v>8195</v>
      </c>
      <c r="AA375" s="130">
        <f t="shared" si="634"/>
        <v>0</v>
      </c>
      <c r="AB375" s="133">
        <f t="shared" si="576"/>
        <v>6</v>
      </c>
      <c r="AC375" s="137">
        <f>ROUND(I375+mwreg!$G$39/100,3)</f>
        <v>-0.28799999999999998</v>
      </c>
      <c r="AD375" s="134">
        <f>ROUND(J375+mwreg!$G$39/100,3)</f>
        <v>0.43</v>
      </c>
      <c r="AE375" s="134">
        <f>ROUND(K375+mwreg!$G$39/100,3)</f>
        <v>4.9000000000000002E-2</v>
      </c>
      <c r="AF375" s="100">
        <f t="shared" si="570"/>
        <v>0.1193</v>
      </c>
      <c r="AG375" s="100">
        <f t="shared" si="571"/>
        <v>5.1299999999999998E-2</v>
      </c>
      <c r="AH375" s="164">
        <f t="shared" si="641"/>
        <v>5.3999999999999999E-2</v>
      </c>
      <c r="AI375" s="135">
        <f t="shared" si="642"/>
        <v>180</v>
      </c>
      <c r="AJ375" s="135">
        <f t="shared" si="643"/>
        <v>60</v>
      </c>
      <c r="AK375" s="134">
        <f t="shared" si="644"/>
        <v>1E-3</v>
      </c>
      <c r="AL375" s="135">
        <f t="shared" si="645"/>
        <v>3</v>
      </c>
      <c r="AM375" s="135">
        <f t="shared" si="646"/>
        <v>1500</v>
      </c>
      <c r="AN375" s="134">
        <f t="shared" si="647"/>
        <v>0.1</v>
      </c>
      <c r="AO375" s="187">
        <f t="shared" si="648"/>
        <v>279599</v>
      </c>
    </row>
    <row r="376" spans="1:41" x14ac:dyDescent="0.2">
      <c r="A376" s="3" t="s">
        <v>296</v>
      </c>
      <c r="B376" s="3" t="s">
        <v>296</v>
      </c>
      <c r="C376" s="125">
        <v>2080</v>
      </c>
      <c r="D376" s="129">
        <v>57.639200000000002</v>
      </c>
      <c r="E376" s="129">
        <v>18.284400000000002</v>
      </c>
      <c r="F376" s="136">
        <v>8195</v>
      </c>
      <c r="G376" s="126">
        <v>0</v>
      </c>
      <c r="H376" s="127">
        <v>7</v>
      </c>
      <c r="I376" s="168">
        <v>-0.27700000000000002</v>
      </c>
      <c r="J376" s="128">
        <v>0.4</v>
      </c>
      <c r="K376" s="128">
        <v>8.5999999999999993E-2</v>
      </c>
      <c r="L376" s="129">
        <v>9.1300000000000006E-2</v>
      </c>
      <c r="M376" s="129">
        <v>6.7199999999999996E-2</v>
      </c>
      <c r="N376" s="129">
        <v>7.1999999999999995E-2</v>
      </c>
      <c r="O376" s="136">
        <v>180</v>
      </c>
      <c r="P376" s="136">
        <v>60</v>
      </c>
      <c r="Q376" s="128">
        <v>1E-3</v>
      </c>
      <c r="R376" s="136">
        <v>3</v>
      </c>
      <c r="S376" s="136">
        <v>1500</v>
      </c>
      <c r="T376" s="128">
        <v>0.1</v>
      </c>
      <c r="U376" s="127">
        <v>277987</v>
      </c>
      <c r="V376" s="130"/>
      <c r="W376" s="131">
        <f t="shared" si="630"/>
        <v>2080</v>
      </c>
      <c r="X376" s="132">
        <f t="shared" si="631"/>
        <v>57.639200000000002</v>
      </c>
      <c r="Y376" s="132">
        <f t="shared" si="632"/>
        <v>18.284400000000002</v>
      </c>
      <c r="Z376" s="133">
        <f t="shared" si="633"/>
        <v>8195</v>
      </c>
      <c r="AA376" s="130">
        <f t="shared" si="634"/>
        <v>0</v>
      </c>
      <c r="AB376" s="133">
        <f t="shared" si="576"/>
        <v>7</v>
      </c>
      <c r="AC376" s="137">
        <f>ROUND(I376+mwreg!$G$39/100,3)</f>
        <v>-0.187</v>
      </c>
      <c r="AD376" s="134">
        <f>ROUND(J376+mwreg!$G$39/100,3)</f>
        <v>0.49</v>
      </c>
      <c r="AE376" s="134">
        <f>ROUND(K376+mwreg!$G$39/100,3)</f>
        <v>0.17599999999999999</v>
      </c>
      <c r="AF376" s="100">
        <f t="shared" si="570"/>
        <v>9.1300000000000006E-2</v>
      </c>
      <c r="AG376" s="100">
        <f t="shared" si="571"/>
        <v>6.7199999999999996E-2</v>
      </c>
      <c r="AH376" s="164">
        <f t="shared" si="641"/>
        <v>7.1999999999999995E-2</v>
      </c>
      <c r="AI376" s="135">
        <f t="shared" si="642"/>
        <v>180</v>
      </c>
      <c r="AJ376" s="135">
        <f t="shared" si="643"/>
        <v>60</v>
      </c>
      <c r="AK376" s="134">
        <f t="shared" si="644"/>
        <v>1E-3</v>
      </c>
      <c r="AL376" s="135">
        <f t="shared" si="645"/>
        <v>3</v>
      </c>
      <c r="AM376" s="135">
        <f t="shared" si="646"/>
        <v>1500</v>
      </c>
      <c r="AN376" s="134">
        <f t="shared" si="647"/>
        <v>0.1</v>
      </c>
      <c r="AO376" s="187">
        <f t="shared" si="648"/>
        <v>277987</v>
      </c>
    </row>
    <row r="377" spans="1:41" x14ac:dyDescent="0.2">
      <c r="A377" s="3" t="s">
        <v>296</v>
      </c>
      <c r="B377" s="3" t="s">
        <v>296</v>
      </c>
      <c r="C377" s="125">
        <v>2080</v>
      </c>
      <c r="D377" s="129">
        <v>57.639200000000002</v>
      </c>
      <c r="E377" s="129">
        <v>18.284400000000002</v>
      </c>
      <c r="F377" s="136">
        <v>8195</v>
      </c>
      <c r="G377" s="126">
        <v>0</v>
      </c>
      <c r="H377" s="127">
        <v>8</v>
      </c>
      <c r="I377" s="168">
        <v>-0.311</v>
      </c>
      <c r="J377" s="128">
        <v>0.45800000000000002</v>
      </c>
      <c r="K377" s="128">
        <v>5.8999999999999997E-2</v>
      </c>
      <c r="L377" s="129">
        <v>9.9099999999999994E-2</v>
      </c>
      <c r="M377" s="129">
        <v>5.6300000000000003E-2</v>
      </c>
      <c r="N377" s="129">
        <v>6.2E-2</v>
      </c>
      <c r="O377" s="136">
        <v>180</v>
      </c>
      <c r="P377" s="136">
        <v>60</v>
      </c>
      <c r="Q377" s="128">
        <v>1E-3</v>
      </c>
      <c r="R377" s="136">
        <v>3</v>
      </c>
      <c r="S377" s="136">
        <v>1500</v>
      </c>
      <c r="T377" s="128">
        <v>0.1</v>
      </c>
      <c r="U377" s="127">
        <v>292135</v>
      </c>
      <c r="V377" s="130"/>
      <c r="W377" s="131">
        <f t="shared" si="630"/>
        <v>2080</v>
      </c>
      <c r="X377" s="132">
        <f t="shared" si="631"/>
        <v>57.639200000000002</v>
      </c>
      <c r="Y377" s="132">
        <f t="shared" si="632"/>
        <v>18.284400000000002</v>
      </c>
      <c r="Z377" s="133">
        <f t="shared" si="633"/>
        <v>8195</v>
      </c>
      <c r="AA377" s="130">
        <f t="shared" si="634"/>
        <v>0</v>
      </c>
      <c r="AB377" s="133">
        <f t="shared" si="576"/>
        <v>8</v>
      </c>
      <c r="AC377" s="137">
        <f>ROUND(I377+mwreg!$G$39/100,3)</f>
        <v>-0.221</v>
      </c>
      <c r="AD377" s="134">
        <f>ROUND(J377+mwreg!$G$39/100,3)</f>
        <v>0.54800000000000004</v>
      </c>
      <c r="AE377" s="134">
        <f>ROUND(K377+mwreg!$G$39/100,3)</f>
        <v>0.14899999999999999</v>
      </c>
      <c r="AF377" s="100">
        <f t="shared" si="570"/>
        <v>9.9099999999999994E-2</v>
      </c>
      <c r="AG377" s="100">
        <f t="shared" si="571"/>
        <v>5.6300000000000003E-2</v>
      </c>
      <c r="AH377" s="164">
        <f t="shared" si="641"/>
        <v>6.2E-2</v>
      </c>
      <c r="AI377" s="135">
        <f t="shared" si="642"/>
        <v>180</v>
      </c>
      <c r="AJ377" s="135">
        <f t="shared" si="643"/>
        <v>60</v>
      </c>
      <c r="AK377" s="134">
        <f t="shared" si="644"/>
        <v>1E-3</v>
      </c>
      <c r="AL377" s="135">
        <f t="shared" si="645"/>
        <v>3</v>
      </c>
      <c r="AM377" s="135">
        <f t="shared" si="646"/>
        <v>1500</v>
      </c>
      <c r="AN377" s="134">
        <f t="shared" si="647"/>
        <v>0.1</v>
      </c>
      <c r="AO377" s="187">
        <f t="shared" si="648"/>
        <v>292135</v>
      </c>
    </row>
    <row r="378" spans="1:41" x14ac:dyDescent="0.2">
      <c r="A378" s="3" t="s">
        <v>296</v>
      </c>
      <c r="B378" s="3" t="s">
        <v>296</v>
      </c>
      <c r="C378" s="125">
        <v>2080</v>
      </c>
      <c r="D378" s="129">
        <v>57.639200000000002</v>
      </c>
      <c r="E378" s="129">
        <v>18.284400000000002</v>
      </c>
      <c r="F378" s="136">
        <v>8195</v>
      </c>
      <c r="G378" s="126">
        <v>0</v>
      </c>
      <c r="H378" s="127">
        <v>9</v>
      </c>
      <c r="I378" s="168">
        <v>-0.40799999999999997</v>
      </c>
      <c r="J378" s="128">
        <v>0.57699999999999996</v>
      </c>
      <c r="K378" s="128">
        <v>7.8E-2</v>
      </c>
      <c r="L378" s="129">
        <v>0.1159</v>
      </c>
      <c r="M378" s="129">
        <v>0.1195</v>
      </c>
      <c r="N378" s="129">
        <v>0.126</v>
      </c>
      <c r="O378" s="136">
        <v>180</v>
      </c>
      <c r="P378" s="136">
        <v>60</v>
      </c>
      <c r="Q378" s="128">
        <v>1E-3</v>
      </c>
      <c r="R378" s="136">
        <v>3</v>
      </c>
      <c r="S378" s="136">
        <v>1500</v>
      </c>
      <c r="T378" s="128">
        <v>0.1</v>
      </c>
      <c r="U378" s="127">
        <v>283384</v>
      </c>
      <c r="V378" s="130"/>
      <c r="W378" s="131">
        <f t="shared" si="630"/>
        <v>2080</v>
      </c>
      <c r="X378" s="132">
        <f t="shared" si="631"/>
        <v>57.639200000000002</v>
      </c>
      <c r="Y378" s="132">
        <f t="shared" si="632"/>
        <v>18.284400000000002</v>
      </c>
      <c r="Z378" s="133">
        <f t="shared" si="633"/>
        <v>8195</v>
      </c>
      <c r="AA378" s="130">
        <f t="shared" si="634"/>
        <v>0</v>
      </c>
      <c r="AB378" s="133">
        <f t="shared" si="576"/>
        <v>9</v>
      </c>
      <c r="AC378" s="137">
        <f>ROUND(I378+mwreg!$G$39/100,3)</f>
        <v>-0.318</v>
      </c>
      <c r="AD378" s="134">
        <f>ROUND(J378+mwreg!$G$39/100,3)</f>
        <v>0.66700000000000004</v>
      </c>
      <c r="AE378" s="134">
        <f>ROUND(K378+mwreg!$G$39/100,3)</f>
        <v>0.16800000000000001</v>
      </c>
      <c r="AF378" s="100">
        <f t="shared" si="570"/>
        <v>0.1159</v>
      </c>
      <c r="AG378" s="100">
        <f t="shared" si="571"/>
        <v>0.1195</v>
      </c>
      <c r="AH378" s="164">
        <f t="shared" si="641"/>
        <v>0.126</v>
      </c>
      <c r="AI378" s="135">
        <f t="shared" si="642"/>
        <v>180</v>
      </c>
      <c r="AJ378" s="135">
        <f t="shared" si="643"/>
        <v>60</v>
      </c>
      <c r="AK378" s="134">
        <f t="shared" si="644"/>
        <v>1E-3</v>
      </c>
      <c r="AL378" s="135">
        <f t="shared" si="645"/>
        <v>3</v>
      </c>
      <c r="AM378" s="135">
        <f t="shared" si="646"/>
        <v>1500</v>
      </c>
      <c r="AN378" s="134">
        <f t="shared" si="647"/>
        <v>0.1</v>
      </c>
      <c r="AO378" s="187">
        <f t="shared" si="648"/>
        <v>283384</v>
      </c>
    </row>
    <row r="379" spans="1:41" x14ac:dyDescent="0.2">
      <c r="A379" s="3" t="s">
        <v>296</v>
      </c>
      <c r="B379" s="3" t="s">
        <v>296</v>
      </c>
      <c r="C379" s="125">
        <v>2080</v>
      </c>
      <c r="D379" s="129">
        <v>57.639200000000002</v>
      </c>
      <c r="E379" s="129">
        <v>18.284400000000002</v>
      </c>
      <c r="F379" s="136">
        <v>8195</v>
      </c>
      <c r="G379" s="126">
        <v>0</v>
      </c>
      <c r="H379" s="127">
        <v>10</v>
      </c>
      <c r="I379" s="168">
        <v>-0.51200000000000001</v>
      </c>
      <c r="J379" s="128">
        <v>0.84699999999999998</v>
      </c>
      <c r="K379" s="128">
        <v>3.5000000000000003E-2</v>
      </c>
      <c r="L379" s="129">
        <v>0.18260000000000001</v>
      </c>
      <c r="M379" s="129">
        <v>6.2199999999999998E-2</v>
      </c>
      <c r="N379" s="129">
        <v>6.8000000000000005E-2</v>
      </c>
      <c r="O379" s="136">
        <v>180</v>
      </c>
      <c r="P379" s="136">
        <v>60</v>
      </c>
      <c r="Q379" s="128">
        <v>1E-3</v>
      </c>
      <c r="R379" s="136">
        <v>3</v>
      </c>
      <c r="S379" s="136">
        <v>1500</v>
      </c>
      <c r="T379" s="128">
        <v>0.1</v>
      </c>
      <c r="U379" s="127">
        <v>312237</v>
      </c>
      <c r="V379" s="130"/>
      <c r="W379" s="131">
        <f t="shared" si="630"/>
        <v>2080</v>
      </c>
      <c r="X379" s="132">
        <f t="shared" si="631"/>
        <v>57.639200000000002</v>
      </c>
      <c r="Y379" s="132">
        <f t="shared" si="632"/>
        <v>18.284400000000002</v>
      </c>
      <c r="Z379" s="133">
        <f t="shared" si="633"/>
        <v>8195</v>
      </c>
      <c r="AA379" s="130">
        <f t="shared" si="634"/>
        <v>0</v>
      </c>
      <c r="AB379" s="133">
        <f t="shared" si="576"/>
        <v>10</v>
      </c>
      <c r="AC379" s="137">
        <f>ROUND(I379+mwreg!$G$39/100,3)</f>
        <v>-0.42199999999999999</v>
      </c>
      <c r="AD379" s="134">
        <f>ROUND(J379+mwreg!$G$39/100,3)</f>
        <v>0.93700000000000006</v>
      </c>
      <c r="AE379" s="134">
        <f>ROUND(K379+mwreg!$G$39/100,3)</f>
        <v>0.125</v>
      </c>
      <c r="AF379" s="100">
        <f t="shared" si="570"/>
        <v>0.18260000000000001</v>
      </c>
      <c r="AG379" s="100">
        <f t="shared" si="571"/>
        <v>6.2199999999999998E-2</v>
      </c>
      <c r="AH379" s="164">
        <f t="shared" si="641"/>
        <v>6.8000000000000005E-2</v>
      </c>
      <c r="AI379" s="135">
        <f t="shared" si="642"/>
        <v>180</v>
      </c>
      <c r="AJ379" s="135">
        <f t="shared" si="643"/>
        <v>60</v>
      </c>
      <c r="AK379" s="134">
        <f t="shared" si="644"/>
        <v>1E-3</v>
      </c>
      <c r="AL379" s="135">
        <f t="shared" si="645"/>
        <v>3</v>
      </c>
      <c r="AM379" s="135">
        <f t="shared" si="646"/>
        <v>1500</v>
      </c>
      <c r="AN379" s="134">
        <f t="shared" si="647"/>
        <v>0.1</v>
      </c>
      <c r="AO379" s="187">
        <f t="shared" si="648"/>
        <v>312237</v>
      </c>
    </row>
    <row r="380" spans="1:41" x14ac:dyDescent="0.2">
      <c r="A380" s="3" t="s">
        <v>296</v>
      </c>
      <c r="B380" s="3" t="s">
        <v>296</v>
      </c>
      <c r="C380" s="125">
        <v>2080</v>
      </c>
      <c r="D380" s="129">
        <v>57.639200000000002</v>
      </c>
      <c r="E380" s="129">
        <v>18.284400000000002</v>
      </c>
      <c r="F380" s="136">
        <v>8195</v>
      </c>
      <c r="G380" s="126">
        <v>0</v>
      </c>
      <c r="H380" s="127">
        <v>11</v>
      </c>
      <c r="I380" s="168">
        <v>-0.53600000000000003</v>
      </c>
      <c r="J380" s="128">
        <v>0.63700000000000001</v>
      </c>
      <c r="K380" s="128">
        <v>5.6000000000000001E-2</v>
      </c>
      <c r="L380" s="129">
        <v>0.1963</v>
      </c>
      <c r="M380" s="129">
        <v>0.1222</v>
      </c>
      <c r="N380" s="129">
        <v>0.127</v>
      </c>
      <c r="O380" s="136">
        <v>180</v>
      </c>
      <c r="P380" s="136">
        <v>60</v>
      </c>
      <c r="Q380" s="128">
        <v>1E-3</v>
      </c>
      <c r="R380" s="136">
        <v>3</v>
      </c>
      <c r="S380" s="136">
        <v>1500</v>
      </c>
      <c r="T380" s="128">
        <v>0.1</v>
      </c>
      <c r="U380" s="127">
        <v>328240</v>
      </c>
      <c r="V380" s="130"/>
      <c r="W380" s="131">
        <f t="shared" si="630"/>
        <v>2080</v>
      </c>
      <c r="X380" s="132">
        <f t="shared" si="631"/>
        <v>57.639200000000002</v>
      </c>
      <c r="Y380" s="132">
        <f t="shared" si="632"/>
        <v>18.284400000000002</v>
      </c>
      <c r="Z380" s="133">
        <f t="shared" si="633"/>
        <v>8195</v>
      </c>
      <c r="AA380" s="130">
        <f t="shared" si="634"/>
        <v>0</v>
      </c>
      <c r="AB380" s="133">
        <f t="shared" si="576"/>
        <v>11</v>
      </c>
      <c r="AC380" s="137">
        <f>ROUND(I380+mwreg!$G$39/100,3)</f>
        <v>-0.44600000000000001</v>
      </c>
      <c r="AD380" s="134">
        <f>ROUND(J380+mwreg!$G$39/100,3)</f>
        <v>0.72699999999999998</v>
      </c>
      <c r="AE380" s="134">
        <f>ROUND(K380+mwreg!$G$39/100,3)</f>
        <v>0.14599999999999999</v>
      </c>
      <c r="AF380" s="100">
        <f t="shared" si="570"/>
        <v>0.1963</v>
      </c>
      <c r="AG380" s="100">
        <f t="shared" si="571"/>
        <v>0.1222</v>
      </c>
      <c r="AH380" s="164">
        <f t="shared" si="641"/>
        <v>0.127</v>
      </c>
      <c r="AI380" s="135">
        <f t="shared" si="642"/>
        <v>180</v>
      </c>
      <c r="AJ380" s="135">
        <f t="shared" si="643"/>
        <v>60</v>
      </c>
      <c r="AK380" s="134">
        <f t="shared" si="644"/>
        <v>1E-3</v>
      </c>
      <c r="AL380" s="135">
        <f t="shared" si="645"/>
        <v>3</v>
      </c>
      <c r="AM380" s="135">
        <f t="shared" si="646"/>
        <v>1500</v>
      </c>
      <c r="AN380" s="134">
        <f t="shared" si="647"/>
        <v>0.1</v>
      </c>
      <c r="AO380" s="187">
        <f t="shared" si="648"/>
        <v>328240</v>
      </c>
    </row>
    <row r="381" spans="1:41" x14ac:dyDescent="0.2">
      <c r="A381" s="3" t="s">
        <v>296</v>
      </c>
      <c r="B381" s="3" t="s">
        <v>296</v>
      </c>
      <c r="C381" s="125">
        <v>2080</v>
      </c>
      <c r="D381" s="129">
        <v>57.639200000000002</v>
      </c>
      <c r="E381" s="129">
        <v>18.284400000000002</v>
      </c>
      <c r="F381" s="136">
        <v>8195</v>
      </c>
      <c r="G381" s="126">
        <v>0</v>
      </c>
      <c r="H381" s="127">
        <v>12</v>
      </c>
      <c r="I381" s="168">
        <v>-0.54100000000000004</v>
      </c>
      <c r="J381" s="128">
        <v>0.89700000000000002</v>
      </c>
      <c r="K381" s="128">
        <v>0.155</v>
      </c>
      <c r="L381" s="129">
        <v>0.20810000000000001</v>
      </c>
      <c r="M381" s="129">
        <v>0.11020000000000001</v>
      </c>
      <c r="N381" s="129">
        <v>0.115</v>
      </c>
      <c r="O381" s="136">
        <v>180</v>
      </c>
      <c r="P381" s="136">
        <v>60</v>
      </c>
      <c r="Q381" s="128">
        <v>1E-3</v>
      </c>
      <c r="R381" s="136">
        <v>3</v>
      </c>
      <c r="S381" s="136">
        <v>1500</v>
      </c>
      <c r="T381" s="128">
        <v>0.1</v>
      </c>
      <c r="U381" s="127">
        <v>304134</v>
      </c>
      <c r="V381" s="130"/>
      <c r="W381" s="131">
        <f t="shared" si="630"/>
        <v>2080</v>
      </c>
      <c r="X381" s="132">
        <f t="shared" si="631"/>
        <v>57.639200000000002</v>
      </c>
      <c r="Y381" s="132">
        <f t="shared" si="632"/>
        <v>18.284400000000002</v>
      </c>
      <c r="Z381" s="133">
        <f t="shared" si="633"/>
        <v>8195</v>
      </c>
      <c r="AA381" s="130">
        <f t="shared" si="634"/>
        <v>0</v>
      </c>
      <c r="AB381" s="133">
        <f t="shared" si="576"/>
        <v>12</v>
      </c>
      <c r="AC381" s="137">
        <f>ROUND(I381+mwreg!$G$39/100,3)</f>
        <v>-0.45100000000000001</v>
      </c>
      <c r="AD381" s="134">
        <f>ROUND(J381+mwreg!$G$39/100,3)</f>
        <v>0.98699999999999999</v>
      </c>
      <c r="AE381" s="134">
        <f>ROUND(K381+mwreg!$G$39/100,3)</f>
        <v>0.245</v>
      </c>
      <c r="AF381" s="100">
        <f t="shared" si="570"/>
        <v>0.20810000000000001</v>
      </c>
      <c r="AG381" s="100">
        <f t="shared" si="571"/>
        <v>0.11020000000000001</v>
      </c>
      <c r="AH381" s="164">
        <f t="shared" si="641"/>
        <v>0.115</v>
      </c>
      <c r="AI381" s="135">
        <f t="shared" si="642"/>
        <v>180</v>
      </c>
      <c r="AJ381" s="135">
        <f t="shared" si="643"/>
        <v>60</v>
      </c>
      <c r="AK381" s="134">
        <f t="shared" si="644"/>
        <v>1E-3</v>
      </c>
      <c r="AL381" s="135">
        <f t="shared" si="645"/>
        <v>3</v>
      </c>
      <c r="AM381" s="135">
        <f t="shared" si="646"/>
        <v>1500</v>
      </c>
      <c r="AN381" s="134">
        <f t="shared" si="647"/>
        <v>0.1</v>
      </c>
      <c r="AO381" s="187">
        <f t="shared" si="648"/>
        <v>304134</v>
      </c>
    </row>
    <row r="382" spans="1:41" x14ac:dyDescent="0.2">
      <c r="A382" s="3" t="str">
        <f>stat_uppg!A40</f>
        <v>77/35200</v>
      </c>
      <c r="B382" s="3" t="str">
        <f>stat_uppg!B40</f>
        <v>SIMPEVARP (SKB)</v>
      </c>
      <c r="C382" s="52">
        <v>35200</v>
      </c>
      <c r="D382" s="105">
        <v>57.409199999999998</v>
      </c>
      <c r="E382" s="105">
        <v>16.675899999999999</v>
      </c>
      <c r="F382" s="20">
        <v>8195</v>
      </c>
      <c r="G382" s="18">
        <v>0</v>
      </c>
      <c r="H382" s="53">
        <v>1</v>
      </c>
      <c r="I382" s="167">
        <f t="shared" ref="I382:I393" si="657">ROUND(0.105*I334+0.895*I406,3)</f>
        <v>-0.69099999999999995</v>
      </c>
      <c r="J382" s="11">
        <v>1.1200000000000001</v>
      </c>
      <c r="K382" s="104">
        <f t="shared" ref="K382:K393" si="658">ROUND(0.105*K334+0.895*K406,3)</f>
        <v>0.10299999999999999</v>
      </c>
      <c r="L382" s="105">
        <f t="shared" ref="L382:N393" si="659">ROUND(0.105*L334+0.895*L406,4)</f>
        <v>0.25919999999999999</v>
      </c>
      <c r="M382" s="105">
        <f t="shared" si="659"/>
        <v>4.48E-2</v>
      </c>
      <c r="N382" s="105">
        <f t="shared" si="659"/>
        <v>4.7899999999999998E-2</v>
      </c>
      <c r="O382" s="20">
        <f t="shared" ref="O382:P393" si="660">ROUND(0.105*O334+0.895*O406,0)</f>
        <v>180</v>
      </c>
      <c r="P382" s="20">
        <f t="shared" si="660"/>
        <v>60</v>
      </c>
      <c r="Q382" s="104">
        <f t="shared" ref="Q382:Q393" si="661">ROUND(0.105*Q334+0.895*Q406,3)</f>
        <v>1E-3</v>
      </c>
      <c r="R382" s="20">
        <f t="shared" ref="R382:S393" si="662">ROUND(0.105*R334+0.895*R406,0)</f>
        <v>3</v>
      </c>
      <c r="S382" s="20">
        <f t="shared" si="662"/>
        <v>1500</v>
      </c>
      <c r="T382" s="104">
        <f t="shared" ref="T382:T393" si="663">ROUND(0.105*T334+0.895*T406,3)</f>
        <v>0.1</v>
      </c>
      <c r="U382" s="53" t="s">
        <v>282</v>
      </c>
      <c r="V382" s="21"/>
      <c r="W382" s="58">
        <f t="shared" si="630"/>
        <v>35200</v>
      </c>
      <c r="X382" s="102">
        <f t="shared" si="631"/>
        <v>57.409199999999998</v>
      </c>
      <c r="Y382" s="102">
        <f t="shared" si="632"/>
        <v>16.675899999999999</v>
      </c>
      <c r="Z382" s="21">
        <f t="shared" si="633"/>
        <v>8195</v>
      </c>
      <c r="AA382" s="44">
        <f t="shared" si="634"/>
        <v>0</v>
      </c>
      <c r="AB382" s="21">
        <f t="shared" ref="AB382:AB437" si="664">H382</f>
        <v>1</v>
      </c>
      <c r="AC382" s="119">
        <f>ROUND(I382+mwreg!$G$40/100,3)</f>
        <v>-0.57399999999999995</v>
      </c>
      <c r="AD382" s="83">
        <f>ROUND(J382+mwreg!$G$40/100,3)</f>
        <v>1.2370000000000001</v>
      </c>
      <c r="AE382" s="108">
        <f>ROUND(K382+mwreg!$G$40/100,3)</f>
        <v>0.22</v>
      </c>
      <c r="AF382" s="102">
        <f t="shared" ref="AF382:AF434" si="665">L382</f>
        <v>0.25919999999999999</v>
      </c>
      <c r="AG382" s="102">
        <f t="shared" ref="AG382:AG434" si="666">M382</f>
        <v>4.48E-2</v>
      </c>
      <c r="AH382" s="109">
        <f t="shared" si="641"/>
        <v>4.7899999999999998E-2</v>
      </c>
      <c r="AI382" s="110">
        <f t="shared" si="642"/>
        <v>180</v>
      </c>
      <c r="AJ382" s="110">
        <f t="shared" si="643"/>
        <v>60</v>
      </c>
      <c r="AK382" s="108">
        <f t="shared" si="644"/>
        <v>1E-3</v>
      </c>
      <c r="AL382" s="110">
        <f t="shared" si="645"/>
        <v>3</v>
      </c>
      <c r="AM382" s="110">
        <f t="shared" si="646"/>
        <v>1500</v>
      </c>
      <c r="AN382" s="108">
        <f t="shared" si="647"/>
        <v>0.1</v>
      </c>
      <c r="AO382" s="186" t="str">
        <f t="shared" si="648"/>
        <v>NaN</v>
      </c>
    </row>
    <row r="383" spans="1:41" x14ac:dyDescent="0.2">
      <c r="A383" s="3" t="s">
        <v>296</v>
      </c>
      <c r="B383" s="3" t="s">
        <v>296</v>
      </c>
      <c r="C383" s="52">
        <v>35200</v>
      </c>
      <c r="D383" s="105">
        <v>57.409199999999998</v>
      </c>
      <c r="E383" s="105">
        <v>16.675899999999999</v>
      </c>
      <c r="F383" s="20">
        <v>8195</v>
      </c>
      <c r="G383" s="18">
        <v>0</v>
      </c>
      <c r="H383" s="53">
        <v>2</v>
      </c>
      <c r="I383" s="167">
        <f t="shared" si="657"/>
        <v>-0.73099999999999998</v>
      </c>
      <c r="J383" s="104">
        <f t="shared" ref="J383:J393" si="667">ROUND(0.105*J335+0.895*J407,3)</f>
        <v>0.98199999999999998</v>
      </c>
      <c r="K383" s="104">
        <f t="shared" si="658"/>
        <v>4.8000000000000001E-2</v>
      </c>
      <c r="L383" s="105">
        <f t="shared" si="659"/>
        <v>0.2601</v>
      </c>
      <c r="M383" s="105">
        <f t="shared" si="659"/>
        <v>4.2099999999999999E-2</v>
      </c>
      <c r="N383" s="105">
        <f t="shared" si="659"/>
        <v>4.53E-2</v>
      </c>
      <c r="O383" s="20">
        <f t="shared" si="660"/>
        <v>180</v>
      </c>
      <c r="P383" s="20">
        <f t="shared" si="660"/>
        <v>60</v>
      </c>
      <c r="Q383" s="104">
        <f t="shared" si="661"/>
        <v>1E-3</v>
      </c>
      <c r="R383" s="20">
        <f t="shared" si="662"/>
        <v>3</v>
      </c>
      <c r="S383" s="20">
        <f t="shared" si="662"/>
        <v>1500</v>
      </c>
      <c r="T383" s="104">
        <f t="shared" si="663"/>
        <v>0.1</v>
      </c>
      <c r="U383" s="53" t="s">
        <v>282</v>
      </c>
      <c r="V383" s="21"/>
      <c r="W383" s="58">
        <f t="shared" si="630"/>
        <v>35200</v>
      </c>
      <c r="X383" s="102">
        <f t="shared" si="631"/>
        <v>57.409199999999998</v>
      </c>
      <c r="Y383" s="102">
        <f t="shared" si="632"/>
        <v>16.675899999999999</v>
      </c>
      <c r="Z383" s="21">
        <f t="shared" si="633"/>
        <v>8195</v>
      </c>
      <c r="AA383" s="44">
        <f t="shared" si="634"/>
        <v>0</v>
      </c>
      <c r="AB383" s="21">
        <f t="shared" si="664"/>
        <v>2</v>
      </c>
      <c r="AC383" s="119">
        <f>ROUND(I383+mwreg!$G$40/100,3)</f>
        <v>-0.61399999999999999</v>
      </c>
      <c r="AD383" s="108">
        <f>ROUND(J383+mwreg!$G$40/100,3)</f>
        <v>1.099</v>
      </c>
      <c r="AE383" s="108">
        <f>ROUND(K383+mwreg!$G$40/100,3)</f>
        <v>0.16500000000000001</v>
      </c>
      <c r="AF383" s="102">
        <f t="shared" si="665"/>
        <v>0.2601</v>
      </c>
      <c r="AG383" s="102">
        <f t="shared" si="666"/>
        <v>4.2099999999999999E-2</v>
      </c>
      <c r="AH383" s="109">
        <f t="shared" si="641"/>
        <v>4.53E-2</v>
      </c>
      <c r="AI383" s="110">
        <f t="shared" si="642"/>
        <v>180</v>
      </c>
      <c r="AJ383" s="110">
        <f t="shared" si="643"/>
        <v>60</v>
      </c>
      <c r="AK383" s="108">
        <f t="shared" si="644"/>
        <v>1E-3</v>
      </c>
      <c r="AL383" s="110">
        <f t="shared" si="645"/>
        <v>3</v>
      </c>
      <c r="AM383" s="110">
        <f t="shared" si="646"/>
        <v>1500</v>
      </c>
      <c r="AN383" s="108">
        <f t="shared" si="647"/>
        <v>0.1</v>
      </c>
      <c r="AO383" s="186" t="str">
        <f t="shared" si="648"/>
        <v>NaN</v>
      </c>
    </row>
    <row r="384" spans="1:41" x14ac:dyDescent="0.2">
      <c r="A384" s="3" t="s">
        <v>296</v>
      </c>
      <c r="B384" s="3" t="s">
        <v>296</v>
      </c>
      <c r="C384" s="52">
        <v>35200</v>
      </c>
      <c r="D384" s="105">
        <v>57.409199999999998</v>
      </c>
      <c r="E384" s="105">
        <v>16.675899999999999</v>
      </c>
      <c r="F384" s="20">
        <v>8195</v>
      </c>
      <c r="G384" s="18">
        <v>0</v>
      </c>
      <c r="H384" s="53">
        <v>3</v>
      </c>
      <c r="I384" s="167">
        <f t="shared" si="657"/>
        <v>-0.81699999999999995</v>
      </c>
      <c r="J384" s="104">
        <f t="shared" si="667"/>
        <v>0.82099999999999995</v>
      </c>
      <c r="K384" s="104">
        <f t="shared" si="658"/>
        <v>1.0999999999999999E-2</v>
      </c>
      <c r="L384" s="105">
        <f t="shared" si="659"/>
        <v>0.219</v>
      </c>
      <c r="M384" s="105">
        <f t="shared" si="659"/>
        <v>3.6999999999999998E-2</v>
      </c>
      <c r="N384" s="105">
        <f t="shared" si="659"/>
        <v>3.9899999999999998E-2</v>
      </c>
      <c r="O384" s="20">
        <f t="shared" si="660"/>
        <v>180</v>
      </c>
      <c r="P384" s="20">
        <f t="shared" si="660"/>
        <v>60</v>
      </c>
      <c r="Q384" s="104">
        <f t="shared" si="661"/>
        <v>1E-3</v>
      </c>
      <c r="R384" s="20">
        <f t="shared" si="662"/>
        <v>3</v>
      </c>
      <c r="S384" s="20">
        <f t="shared" si="662"/>
        <v>1500</v>
      </c>
      <c r="T384" s="104">
        <f t="shared" si="663"/>
        <v>0.1</v>
      </c>
      <c r="U384" s="53" t="s">
        <v>282</v>
      </c>
      <c r="V384" s="21"/>
      <c r="W384" s="58">
        <f t="shared" si="630"/>
        <v>35200</v>
      </c>
      <c r="X384" s="102">
        <f t="shared" si="631"/>
        <v>57.409199999999998</v>
      </c>
      <c r="Y384" s="102">
        <f t="shared" si="632"/>
        <v>16.675899999999999</v>
      </c>
      <c r="Z384" s="21">
        <f t="shared" si="633"/>
        <v>8195</v>
      </c>
      <c r="AA384" s="44">
        <f t="shared" si="634"/>
        <v>0</v>
      </c>
      <c r="AB384" s="21">
        <f t="shared" si="664"/>
        <v>3</v>
      </c>
      <c r="AC384" s="119">
        <f>ROUND(I384+mwreg!$G$40/100,3)</f>
        <v>-0.7</v>
      </c>
      <c r="AD384" s="108">
        <f>ROUND(J384+mwreg!$G$40/100,3)</f>
        <v>0.93799999999999994</v>
      </c>
      <c r="AE384" s="108">
        <f>ROUND(K384+mwreg!$G$40/100,3)</f>
        <v>0.128</v>
      </c>
      <c r="AF384" s="102">
        <f t="shared" si="665"/>
        <v>0.219</v>
      </c>
      <c r="AG384" s="102">
        <f t="shared" si="666"/>
        <v>3.6999999999999998E-2</v>
      </c>
      <c r="AH384" s="109">
        <f t="shared" si="641"/>
        <v>3.9899999999999998E-2</v>
      </c>
      <c r="AI384" s="110">
        <f t="shared" si="642"/>
        <v>180</v>
      </c>
      <c r="AJ384" s="110">
        <f t="shared" si="643"/>
        <v>60</v>
      </c>
      <c r="AK384" s="108">
        <f t="shared" si="644"/>
        <v>1E-3</v>
      </c>
      <c r="AL384" s="110">
        <f t="shared" si="645"/>
        <v>3</v>
      </c>
      <c r="AM384" s="110">
        <f t="shared" si="646"/>
        <v>1500</v>
      </c>
      <c r="AN384" s="108">
        <f t="shared" si="647"/>
        <v>0.1</v>
      </c>
      <c r="AO384" s="186" t="str">
        <f t="shared" si="648"/>
        <v>NaN</v>
      </c>
    </row>
    <row r="385" spans="1:41" x14ac:dyDescent="0.2">
      <c r="A385" s="3" t="s">
        <v>296</v>
      </c>
      <c r="B385" s="3" t="s">
        <v>296</v>
      </c>
      <c r="C385" s="52">
        <v>35200</v>
      </c>
      <c r="D385" s="105">
        <v>57.409199999999998</v>
      </c>
      <c r="E385" s="105">
        <v>16.675899999999999</v>
      </c>
      <c r="F385" s="20">
        <v>8195</v>
      </c>
      <c r="G385" s="18">
        <v>0</v>
      </c>
      <c r="H385" s="53">
        <v>4</v>
      </c>
      <c r="I385" s="167">
        <f t="shared" si="657"/>
        <v>-0.58299999999999996</v>
      </c>
      <c r="J385" s="104">
        <f t="shared" si="667"/>
        <v>0.59699999999999998</v>
      </c>
      <c r="K385" s="104">
        <f t="shared" si="658"/>
        <v>-7.0999999999999994E-2</v>
      </c>
      <c r="L385" s="105">
        <f t="shared" si="659"/>
        <v>0.14990000000000001</v>
      </c>
      <c r="M385" s="105">
        <f t="shared" si="659"/>
        <v>3.9E-2</v>
      </c>
      <c r="N385" s="105">
        <f t="shared" si="659"/>
        <v>4.1599999999999998E-2</v>
      </c>
      <c r="O385" s="20">
        <f t="shared" si="660"/>
        <v>180</v>
      </c>
      <c r="P385" s="20">
        <f t="shared" si="660"/>
        <v>60</v>
      </c>
      <c r="Q385" s="104">
        <f t="shared" si="661"/>
        <v>1E-3</v>
      </c>
      <c r="R385" s="20">
        <f t="shared" si="662"/>
        <v>3</v>
      </c>
      <c r="S385" s="20">
        <f t="shared" si="662"/>
        <v>1500</v>
      </c>
      <c r="T385" s="104">
        <f t="shared" si="663"/>
        <v>0.1</v>
      </c>
      <c r="U385" s="53" t="s">
        <v>282</v>
      </c>
      <c r="V385" s="21"/>
      <c r="W385" s="58">
        <f t="shared" si="630"/>
        <v>35200</v>
      </c>
      <c r="X385" s="102">
        <f t="shared" si="631"/>
        <v>57.409199999999998</v>
      </c>
      <c r="Y385" s="102">
        <f t="shared" si="632"/>
        <v>16.675899999999999</v>
      </c>
      <c r="Z385" s="21">
        <f t="shared" si="633"/>
        <v>8195</v>
      </c>
      <c r="AA385" s="44">
        <f t="shared" si="634"/>
        <v>0</v>
      </c>
      <c r="AB385" s="21">
        <f t="shared" si="664"/>
        <v>4</v>
      </c>
      <c r="AC385" s="119">
        <f>ROUND(I385+mwreg!$G$40/100,3)</f>
        <v>-0.46600000000000003</v>
      </c>
      <c r="AD385" s="108">
        <f>ROUND(J385+mwreg!$G$40/100,3)</f>
        <v>0.71399999999999997</v>
      </c>
      <c r="AE385" s="108">
        <f>ROUND(K385+mwreg!$G$40/100,3)</f>
        <v>4.5999999999999999E-2</v>
      </c>
      <c r="AF385" s="102">
        <f t="shared" si="665"/>
        <v>0.14990000000000001</v>
      </c>
      <c r="AG385" s="102">
        <f t="shared" si="666"/>
        <v>3.9E-2</v>
      </c>
      <c r="AH385" s="109">
        <f t="shared" si="641"/>
        <v>4.1599999999999998E-2</v>
      </c>
      <c r="AI385" s="110">
        <f t="shared" si="642"/>
        <v>180</v>
      </c>
      <c r="AJ385" s="110">
        <f t="shared" si="643"/>
        <v>60</v>
      </c>
      <c r="AK385" s="108">
        <f t="shared" si="644"/>
        <v>1E-3</v>
      </c>
      <c r="AL385" s="110">
        <f t="shared" si="645"/>
        <v>3</v>
      </c>
      <c r="AM385" s="110">
        <f t="shared" si="646"/>
        <v>1500</v>
      </c>
      <c r="AN385" s="108">
        <f t="shared" si="647"/>
        <v>0.1</v>
      </c>
      <c r="AO385" s="186" t="str">
        <f t="shared" si="648"/>
        <v>NaN</v>
      </c>
    </row>
    <row r="386" spans="1:41" x14ac:dyDescent="0.2">
      <c r="A386" s="3" t="s">
        <v>296</v>
      </c>
      <c r="B386" s="3" t="s">
        <v>296</v>
      </c>
      <c r="C386" s="52">
        <v>35200</v>
      </c>
      <c r="D386" s="105">
        <v>57.409199999999998</v>
      </c>
      <c r="E386" s="105">
        <v>16.675899999999999</v>
      </c>
      <c r="F386" s="20">
        <v>8195</v>
      </c>
      <c r="G386" s="18">
        <v>0</v>
      </c>
      <c r="H386" s="53">
        <v>5</v>
      </c>
      <c r="I386" s="167">
        <f t="shared" si="657"/>
        <v>-0.53500000000000003</v>
      </c>
      <c r="J386" s="104">
        <f t="shared" si="667"/>
        <v>0.32400000000000001</v>
      </c>
      <c r="K386" s="104">
        <f t="shared" si="658"/>
        <v>-5.8000000000000003E-2</v>
      </c>
      <c r="L386" s="105">
        <f t="shared" si="659"/>
        <v>0.11550000000000001</v>
      </c>
      <c r="M386" s="105">
        <f t="shared" si="659"/>
        <v>7.3099999999999998E-2</v>
      </c>
      <c r="N386" s="105">
        <f t="shared" si="659"/>
        <v>7.5700000000000003E-2</v>
      </c>
      <c r="O386" s="20">
        <f t="shared" si="660"/>
        <v>180</v>
      </c>
      <c r="P386" s="20">
        <f t="shared" si="660"/>
        <v>60</v>
      </c>
      <c r="Q386" s="104">
        <f t="shared" si="661"/>
        <v>1E-3</v>
      </c>
      <c r="R386" s="20">
        <f t="shared" si="662"/>
        <v>3</v>
      </c>
      <c r="S386" s="20">
        <f t="shared" si="662"/>
        <v>1500</v>
      </c>
      <c r="T386" s="104">
        <f t="shared" si="663"/>
        <v>0.1</v>
      </c>
      <c r="U386" s="53" t="s">
        <v>282</v>
      </c>
      <c r="V386" s="21"/>
      <c r="W386" s="58">
        <f t="shared" ref="W386:W449" si="668">C386</f>
        <v>35200</v>
      </c>
      <c r="X386" s="102">
        <f t="shared" ref="X386:X449" si="669">D386</f>
        <v>57.409199999999998</v>
      </c>
      <c r="Y386" s="102">
        <f t="shared" ref="Y386:Y449" si="670">E386</f>
        <v>16.675899999999999</v>
      </c>
      <c r="Z386" s="21">
        <f t="shared" ref="Z386:Z449" si="671">F386</f>
        <v>8195</v>
      </c>
      <c r="AA386" s="44">
        <f t="shared" ref="AA386:AA449" si="672">G386</f>
        <v>0</v>
      </c>
      <c r="AB386" s="21">
        <f t="shared" si="664"/>
        <v>5</v>
      </c>
      <c r="AC386" s="119">
        <f>ROUND(I386+mwreg!$G$40/100,3)</f>
        <v>-0.41799999999999998</v>
      </c>
      <c r="AD386" s="108">
        <f>ROUND(J386+mwreg!$G$40/100,3)</f>
        <v>0.441</v>
      </c>
      <c r="AE386" s="108">
        <f>ROUND(K386+mwreg!$G$40/100,3)</f>
        <v>5.8999999999999997E-2</v>
      </c>
      <c r="AF386" s="102">
        <f t="shared" si="665"/>
        <v>0.11550000000000001</v>
      </c>
      <c r="AG386" s="102">
        <f t="shared" si="666"/>
        <v>7.3099999999999998E-2</v>
      </c>
      <c r="AH386" s="109">
        <f t="shared" si="641"/>
        <v>7.5700000000000003E-2</v>
      </c>
      <c r="AI386" s="110">
        <f t="shared" si="642"/>
        <v>180</v>
      </c>
      <c r="AJ386" s="110">
        <f t="shared" si="643"/>
        <v>60</v>
      </c>
      <c r="AK386" s="108">
        <f t="shared" si="644"/>
        <v>1E-3</v>
      </c>
      <c r="AL386" s="110">
        <f t="shared" si="645"/>
        <v>3</v>
      </c>
      <c r="AM386" s="110">
        <f t="shared" si="646"/>
        <v>1500</v>
      </c>
      <c r="AN386" s="108">
        <f t="shared" si="647"/>
        <v>0.1</v>
      </c>
      <c r="AO386" s="186" t="str">
        <f t="shared" si="648"/>
        <v>NaN</v>
      </c>
    </row>
    <row r="387" spans="1:41" x14ac:dyDescent="0.2">
      <c r="A387" s="3" t="s">
        <v>296</v>
      </c>
      <c r="B387" s="3" t="s">
        <v>296</v>
      </c>
      <c r="C387" s="52">
        <v>35200</v>
      </c>
      <c r="D387" s="105">
        <v>57.409199999999998</v>
      </c>
      <c r="E387" s="105">
        <v>16.675899999999999</v>
      </c>
      <c r="F387" s="20">
        <v>8195</v>
      </c>
      <c r="G387" s="18">
        <v>0</v>
      </c>
      <c r="H387" s="53">
        <v>6</v>
      </c>
      <c r="I387" s="167">
        <f t="shared" si="657"/>
        <v>-0.41</v>
      </c>
      <c r="J387" s="104">
        <f t="shared" si="667"/>
        <v>0.58599999999999997</v>
      </c>
      <c r="K387" s="104">
        <f t="shared" si="658"/>
        <v>-0.04</v>
      </c>
      <c r="L387" s="105">
        <f t="shared" si="659"/>
        <v>0.104</v>
      </c>
      <c r="M387" s="105">
        <f t="shared" si="659"/>
        <v>3.0099999999999998E-2</v>
      </c>
      <c r="N387" s="105">
        <f t="shared" si="659"/>
        <v>3.2599999999999997E-2</v>
      </c>
      <c r="O387" s="20">
        <f t="shared" si="660"/>
        <v>180</v>
      </c>
      <c r="P387" s="20">
        <f t="shared" si="660"/>
        <v>60</v>
      </c>
      <c r="Q387" s="104">
        <f t="shared" si="661"/>
        <v>1E-3</v>
      </c>
      <c r="R387" s="20">
        <f t="shared" si="662"/>
        <v>3</v>
      </c>
      <c r="S387" s="20">
        <f t="shared" si="662"/>
        <v>1500</v>
      </c>
      <c r="T387" s="104">
        <f t="shared" si="663"/>
        <v>0.1</v>
      </c>
      <c r="U387" s="53" t="s">
        <v>282</v>
      </c>
      <c r="V387" s="21"/>
      <c r="W387" s="58">
        <f t="shared" si="668"/>
        <v>35200</v>
      </c>
      <c r="X387" s="102">
        <f t="shared" si="669"/>
        <v>57.409199999999998</v>
      </c>
      <c r="Y387" s="102">
        <f t="shared" si="670"/>
        <v>16.675899999999999</v>
      </c>
      <c r="Z387" s="21">
        <f t="shared" si="671"/>
        <v>8195</v>
      </c>
      <c r="AA387" s="44">
        <f t="shared" si="672"/>
        <v>0</v>
      </c>
      <c r="AB387" s="21">
        <f t="shared" si="664"/>
        <v>6</v>
      </c>
      <c r="AC387" s="119">
        <f>ROUND(I387+mwreg!$G$40/100,3)</f>
        <v>-0.29299999999999998</v>
      </c>
      <c r="AD387" s="108">
        <f>ROUND(J387+mwreg!$G$40/100,3)</f>
        <v>0.70299999999999996</v>
      </c>
      <c r="AE387" s="108">
        <f>ROUND(K387+mwreg!$G$40/100,3)</f>
        <v>7.6999999999999999E-2</v>
      </c>
      <c r="AF387" s="102">
        <f t="shared" si="665"/>
        <v>0.104</v>
      </c>
      <c r="AG387" s="102">
        <f t="shared" si="666"/>
        <v>3.0099999999999998E-2</v>
      </c>
      <c r="AH387" s="109">
        <f t="shared" si="641"/>
        <v>3.2599999999999997E-2</v>
      </c>
      <c r="AI387" s="110">
        <f t="shared" si="642"/>
        <v>180</v>
      </c>
      <c r="AJ387" s="110">
        <f t="shared" si="643"/>
        <v>60</v>
      </c>
      <c r="AK387" s="108">
        <f t="shared" si="644"/>
        <v>1E-3</v>
      </c>
      <c r="AL387" s="110">
        <f t="shared" si="645"/>
        <v>3</v>
      </c>
      <c r="AM387" s="110">
        <f t="shared" si="646"/>
        <v>1500</v>
      </c>
      <c r="AN387" s="108">
        <f t="shared" si="647"/>
        <v>0.1</v>
      </c>
      <c r="AO387" s="186" t="str">
        <f t="shared" si="648"/>
        <v>NaN</v>
      </c>
    </row>
    <row r="388" spans="1:41" x14ac:dyDescent="0.2">
      <c r="A388" s="3" t="s">
        <v>296</v>
      </c>
      <c r="B388" s="3" t="s">
        <v>296</v>
      </c>
      <c r="C388" s="52">
        <v>35200</v>
      </c>
      <c r="D388" s="105">
        <v>57.409199999999998</v>
      </c>
      <c r="E388" s="105">
        <v>16.675899999999999</v>
      </c>
      <c r="F388" s="20">
        <v>8195</v>
      </c>
      <c r="G388" s="18">
        <v>0</v>
      </c>
      <c r="H388" s="53">
        <v>7</v>
      </c>
      <c r="I388" s="167">
        <f t="shared" si="657"/>
        <v>-0.32800000000000001</v>
      </c>
      <c r="J388" s="104">
        <f t="shared" si="667"/>
        <v>0.41499999999999998</v>
      </c>
      <c r="K388" s="104">
        <f t="shared" si="658"/>
        <v>6.4000000000000001E-2</v>
      </c>
      <c r="L388" s="105">
        <f t="shared" si="659"/>
        <v>0.107</v>
      </c>
      <c r="M388" s="105">
        <f t="shared" si="659"/>
        <v>3.85E-2</v>
      </c>
      <c r="N388" s="105">
        <f t="shared" si="659"/>
        <v>4.1599999999999998E-2</v>
      </c>
      <c r="O388" s="20">
        <f t="shared" si="660"/>
        <v>180</v>
      </c>
      <c r="P388" s="20">
        <f t="shared" si="660"/>
        <v>60</v>
      </c>
      <c r="Q388" s="104">
        <f t="shared" si="661"/>
        <v>1E-3</v>
      </c>
      <c r="R388" s="20">
        <f t="shared" si="662"/>
        <v>3</v>
      </c>
      <c r="S388" s="20">
        <f t="shared" si="662"/>
        <v>1500</v>
      </c>
      <c r="T388" s="104">
        <f t="shared" si="663"/>
        <v>0.1</v>
      </c>
      <c r="U388" s="53" t="s">
        <v>282</v>
      </c>
      <c r="V388" s="21"/>
      <c r="W388" s="58">
        <f t="shared" si="668"/>
        <v>35200</v>
      </c>
      <c r="X388" s="102">
        <f t="shared" si="669"/>
        <v>57.409199999999998</v>
      </c>
      <c r="Y388" s="102">
        <f t="shared" si="670"/>
        <v>16.675899999999999</v>
      </c>
      <c r="Z388" s="21">
        <f t="shared" si="671"/>
        <v>8195</v>
      </c>
      <c r="AA388" s="44">
        <f t="shared" si="672"/>
        <v>0</v>
      </c>
      <c r="AB388" s="21">
        <f t="shared" si="664"/>
        <v>7</v>
      </c>
      <c r="AC388" s="119">
        <f>ROUND(I388+mwreg!$G$40/100,3)</f>
        <v>-0.21099999999999999</v>
      </c>
      <c r="AD388" s="108">
        <f>ROUND(J388+mwreg!$G$40/100,3)</f>
        <v>0.53200000000000003</v>
      </c>
      <c r="AE388" s="108">
        <f>ROUND(K388+mwreg!$G$40/100,3)</f>
        <v>0.18099999999999999</v>
      </c>
      <c r="AF388" s="102">
        <f t="shared" si="665"/>
        <v>0.107</v>
      </c>
      <c r="AG388" s="102">
        <f t="shared" si="666"/>
        <v>3.85E-2</v>
      </c>
      <c r="AH388" s="109">
        <f t="shared" si="641"/>
        <v>4.1599999999999998E-2</v>
      </c>
      <c r="AI388" s="110">
        <f t="shared" si="642"/>
        <v>180</v>
      </c>
      <c r="AJ388" s="110">
        <f t="shared" si="643"/>
        <v>60</v>
      </c>
      <c r="AK388" s="108">
        <f t="shared" si="644"/>
        <v>1E-3</v>
      </c>
      <c r="AL388" s="110">
        <f t="shared" si="645"/>
        <v>3</v>
      </c>
      <c r="AM388" s="110">
        <f t="shared" si="646"/>
        <v>1500</v>
      </c>
      <c r="AN388" s="108">
        <f t="shared" si="647"/>
        <v>0.1</v>
      </c>
      <c r="AO388" s="186" t="str">
        <f t="shared" si="648"/>
        <v>NaN</v>
      </c>
    </row>
    <row r="389" spans="1:41" x14ac:dyDescent="0.2">
      <c r="A389" s="3" t="s">
        <v>296</v>
      </c>
      <c r="B389" s="3" t="s">
        <v>296</v>
      </c>
      <c r="C389" s="52">
        <v>35200</v>
      </c>
      <c r="D389" s="105">
        <v>57.409199999999998</v>
      </c>
      <c r="E389" s="105">
        <v>16.675899999999999</v>
      </c>
      <c r="F389" s="20">
        <v>8195</v>
      </c>
      <c r="G389" s="18">
        <v>0</v>
      </c>
      <c r="H389" s="53">
        <v>8</v>
      </c>
      <c r="I389" s="167">
        <f t="shared" si="657"/>
        <v>-0.36099999999999999</v>
      </c>
      <c r="J389" s="104">
        <f t="shared" si="667"/>
        <v>0.51200000000000001</v>
      </c>
      <c r="K389" s="104">
        <f t="shared" si="658"/>
        <v>1.0999999999999999E-2</v>
      </c>
      <c r="L389" s="105">
        <f t="shared" si="659"/>
        <v>0.1053</v>
      </c>
      <c r="M389" s="105">
        <f t="shared" si="659"/>
        <v>0.1143</v>
      </c>
      <c r="N389" s="105">
        <f t="shared" si="659"/>
        <v>0.1177</v>
      </c>
      <c r="O389" s="20">
        <f t="shared" si="660"/>
        <v>180</v>
      </c>
      <c r="P389" s="20">
        <f t="shared" si="660"/>
        <v>60</v>
      </c>
      <c r="Q389" s="104">
        <f t="shared" si="661"/>
        <v>1E-3</v>
      </c>
      <c r="R389" s="20">
        <f t="shared" si="662"/>
        <v>3</v>
      </c>
      <c r="S389" s="20">
        <f t="shared" si="662"/>
        <v>1500</v>
      </c>
      <c r="T389" s="104">
        <f t="shared" si="663"/>
        <v>0.1</v>
      </c>
      <c r="U389" s="53" t="s">
        <v>282</v>
      </c>
      <c r="V389" s="21"/>
      <c r="W389" s="58">
        <f t="shared" si="668"/>
        <v>35200</v>
      </c>
      <c r="X389" s="102">
        <f t="shared" si="669"/>
        <v>57.409199999999998</v>
      </c>
      <c r="Y389" s="102">
        <f t="shared" si="670"/>
        <v>16.675899999999999</v>
      </c>
      <c r="Z389" s="21">
        <f t="shared" si="671"/>
        <v>8195</v>
      </c>
      <c r="AA389" s="44">
        <f t="shared" si="672"/>
        <v>0</v>
      </c>
      <c r="AB389" s="21">
        <f t="shared" si="664"/>
        <v>8</v>
      </c>
      <c r="AC389" s="119">
        <f>ROUND(I389+mwreg!$G$40/100,3)</f>
        <v>-0.24399999999999999</v>
      </c>
      <c r="AD389" s="108">
        <f>ROUND(J389+mwreg!$G$40/100,3)</f>
        <v>0.629</v>
      </c>
      <c r="AE389" s="108">
        <f>ROUND(K389+mwreg!$G$40/100,3)</f>
        <v>0.128</v>
      </c>
      <c r="AF389" s="102">
        <f t="shared" si="665"/>
        <v>0.1053</v>
      </c>
      <c r="AG389" s="102">
        <f t="shared" si="666"/>
        <v>0.1143</v>
      </c>
      <c r="AH389" s="109">
        <f t="shared" si="641"/>
        <v>0.1177</v>
      </c>
      <c r="AI389" s="110">
        <f t="shared" si="642"/>
        <v>180</v>
      </c>
      <c r="AJ389" s="110">
        <f t="shared" si="643"/>
        <v>60</v>
      </c>
      <c r="AK389" s="108">
        <f t="shared" si="644"/>
        <v>1E-3</v>
      </c>
      <c r="AL389" s="110">
        <f t="shared" si="645"/>
        <v>3</v>
      </c>
      <c r="AM389" s="110">
        <f t="shared" si="646"/>
        <v>1500</v>
      </c>
      <c r="AN389" s="108">
        <f t="shared" si="647"/>
        <v>0.1</v>
      </c>
      <c r="AO389" s="186" t="str">
        <f t="shared" si="648"/>
        <v>NaN</v>
      </c>
    </row>
    <row r="390" spans="1:41" x14ac:dyDescent="0.2">
      <c r="A390" s="3" t="s">
        <v>296</v>
      </c>
      <c r="B390" s="3" t="s">
        <v>296</v>
      </c>
      <c r="C390" s="52">
        <v>35200</v>
      </c>
      <c r="D390" s="105">
        <v>57.409199999999998</v>
      </c>
      <c r="E390" s="105">
        <v>16.675899999999999</v>
      </c>
      <c r="F390" s="20">
        <v>8195</v>
      </c>
      <c r="G390" s="18">
        <v>0</v>
      </c>
      <c r="H390" s="53">
        <v>9</v>
      </c>
      <c r="I390" s="167">
        <f t="shared" si="657"/>
        <v>-0.53400000000000003</v>
      </c>
      <c r="J390" s="104">
        <f t="shared" si="667"/>
        <v>0.57699999999999996</v>
      </c>
      <c r="K390" s="104">
        <f t="shared" si="658"/>
        <v>6.0999999999999999E-2</v>
      </c>
      <c r="L390" s="105">
        <f t="shared" si="659"/>
        <v>0.13089999999999999</v>
      </c>
      <c r="M390" s="105">
        <f t="shared" si="659"/>
        <v>4.7500000000000001E-2</v>
      </c>
      <c r="N390" s="105">
        <f t="shared" si="659"/>
        <v>5.0500000000000003E-2</v>
      </c>
      <c r="O390" s="20">
        <f t="shared" si="660"/>
        <v>180</v>
      </c>
      <c r="P390" s="20">
        <f t="shared" si="660"/>
        <v>60</v>
      </c>
      <c r="Q390" s="104">
        <f t="shared" si="661"/>
        <v>1E-3</v>
      </c>
      <c r="R390" s="20">
        <f t="shared" si="662"/>
        <v>3</v>
      </c>
      <c r="S390" s="20">
        <f t="shared" si="662"/>
        <v>1500</v>
      </c>
      <c r="T390" s="104">
        <f t="shared" si="663"/>
        <v>0.1</v>
      </c>
      <c r="U390" s="53" t="s">
        <v>282</v>
      </c>
      <c r="V390" s="21"/>
      <c r="W390" s="58">
        <f t="shared" si="668"/>
        <v>35200</v>
      </c>
      <c r="X390" s="102">
        <f t="shared" si="669"/>
        <v>57.409199999999998</v>
      </c>
      <c r="Y390" s="102">
        <f t="shared" si="670"/>
        <v>16.675899999999999</v>
      </c>
      <c r="Z390" s="21">
        <f t="shared" si="671"/>
        <v>8195</v>
      </c>
      <c r="AA390" s="44">
        <f t="shared" si="672"/>
        <v>0</v>
      </c>
      <c r="AB390" s="21">
        <f t="shared" si="664"/>
        <v>9</v>
      </c>
      <c r="AC390" s="119">
        <f>ROUND(I390+mwreg!$G$40/100,3)</f>
        <v>-0.41699999999999998</v>
      </c>
      <c r="AD390" s="108">
        <f>ROUND(J390+mwreg!$G$40/100,3)</f>
        <v>0.69399999999999995</v>
      </c>
      <c r="AE390" s="108">
        <f>ROUND(K390+mwreg!$G$40/100,3)</f>
        <v>0.17799999999999999</v>
      </c>
      <c r="AF390" s="102">
        <f t="shared" si="665"/>
        <v>0.13089999999999999</v>
      </c>
      <c r="AG390" s="102">
        <f t="shared" si="666"/>
        <v>4.7500000000000001E-2</v>
      </c>
      <c r="AH390" s="109">
        <f t="shared" si="641"/>
        <v>5.0500000000000003E-2</v>
      </c>
      <c r="AI390" s="110">
        <f t="shared" si="642"/>
        <v>180</v>
      </c>
      <c r="AJ390" s="110">
        <f t="shared" si="643"/>
        <v>60</v>
      </c>
      <c r="AK390" s="108">
        <f t="shared" si="644"/>
        <v>1E-3</v>
      </c>
      <c r="AL390" s="110">
        <f t="shared" si="645"/>
        <v>3</v>
      </c>
      <c r="AM390" s="110">
        <f t="shared" si="646"/>
        <v>1500</v>
      </c>
      <c r="AN390" s="108">
        <f t="shared" si="647"/>
        <v>0.1</v>
      </c>
      <c r="AO390" s="186" t="str">
        <f t="shared" si="648"/>
        <v>NaN</v>
      </c>
    </row>
    <row r="391" spans="1:41" x14ac:dyDescent="0.2">
      <c r="A391" s="3" t="s">
        <v>296</v>
      </c>
      <c r="B391" s="3" t="s">
        <v>296</v>
      </c>
      <c r="C391" s="52">
        <v>35200</v>
      </c>
      <c r="D391" s="105">
        <v>57.409199999999998</v>
      </c>
      <c r="E391" s="105">
        <v>16.675899999999999</v>
      </c>
      <c r="F391" s="20">
        <v>8195</v>
      </c>
      <c r="G391" s="18">
        <v>0</v>
      </c>
      <c r="H391" s="53">
        <v>10</v>
      </c>
      <c r="I391" s="167">
        <f t="shared" si="657"/>
        <v>-0.54800000000000004</v>
      </c>
      <c r="J391" s="104">
        <f t="shared" si="667"/>
        <v>0.83499999999999996</v>
      </c>
      <c r="K391" s="104">
        <f t="shared" si="658"/>
        <v>2.8000000000000001E-2</v>
      </c>
      <c r="L391" s="105">
        <f t="shared" si="659"/>
        <v>0.16289999999999999</v>
      </c>
      <c r="M391" s="105">
        <f t="shared" si="659"/>
        <v>3.8699999999999998E-2</v>
      </c>
      <c r="N391" s="105">
        <f t="shared" si="659"/>
        <v>4.1599999999999998E-2</v>
      </c>
      <c r="O391" s="20">
        <f t="shared" si="660"/>
        <v>180</v>
      </c>
      <c r="P391" s="20">
        <f t="shared" si="660"/>
        <v>60</v>
      </c>
      <c r="Q391" s="104">
        <f t="shared" si="661"/>
        <v>1E-3</v>
      </c>
      <c r="R391" s="20">
        <f t="shared" si="662"/>
        <v>3</v>
      </c>
      <c r="S391" s="20">
        <f t="shared" si="662"/>
        <v>1500</v>
      </c>
      <c r="T391" s="104">
        <f t="shared" si="663"/>
        <v>0.1</v>
      </c>
      <c r="U391" s="53" t="s">
        <v>282</v>
      </c>
      <c r="V391" s="21"/>
      <c r="W391" s="58">
        <f t="shared" si="668"/>
        <v>35200</v>
      </c>
      <c r="X391" s="102">
        <f t="shared" si="669"/>
        <v>57.409199999999998</v>
      </c>
      <c r="Y391" s="102">
        <f t="shared" si="670"/>
        <v>16.675899999999999</v>
      </c>
      <c r="Z391" s="21">
        <f t="shared" si="671"/>
        <v>8195</v>
      </c>
      <c r="AA391" s="44">
        <f t="shared" si="672"/>
        <v>0</v>
      </c>
      <c r="AB391" s="21">
        <f t="shared" si="664"/>
        <v>10</v>
      </c>
      <c r="AC391" s="119">
        <f>ROUND(I391+mwreg!$G$40/100,3)</f>
        <v>-0.43099999999999999</v>
      </c>
      <c r="AD391" s="108">
        <f>ROUND(J391+mwreg!$G$40/100,3)</f>
        <v>0.95199999999999996</v>
      </c>
      <c r="AE391" s="108">
        <f>ROUND(K391+mwreg!$G$40/100,3)</f>
        <v>0.14499999999999999</v>
      </c>
      <c r="AF391" s="102">
        <f t="shared" si="665"/>
        <v>0.16289999999999999</v>
      </c>
      <c r="AG391" s="102">
        <f t="shared" si="666"/>
        <v>3.8699999999999998E-2</v>
      </c>
      <c r="AH391" s="109">
        <f t="shared" si="641"/>
        <v>4.1599999999999998E-2</v>
      </c>
      <c r="AI391" s="110">
        <f t="shared" si="642"/>
        <v>180</v>
      </c>
      <c r="AJ391" s="110">
        <f t="shared" si="643"/>
        <v>60</v>
      </c>
      <c r="AK391" s="108">
        <f t="shared" si="644"/>
        <v>1E-3</v>
      </c>
      <c r="AL391" s="110">
        <f t="shared" si="645"/>
        <v>3</v>
      </c>
      <c r="AM391" s="110">
        <f t="shared" si="646"/>
        <v>1500</v>
      </c>
      <c r="AN391" s="108">
        <f t="shared" si="647"/>
        <v>0.1</v>
      </c>
      <c r="AO391" s="186" t="str">
        <f t="shared" si="648"/>
        <v>NaN</v>
      </c>
    </row>
    <row r="392" spans="1:41" x14ac:dyDescent="0.2">
      <c r="A392" s="3" t="s">
        <v>296</v>
      </c>
      <c r="B392" s="3" t="s">
        <v>296</v>
      </c>
      <c r="C392" s="52">
        <v>35200</v>
      </c>
      <c r="D392" s="105">
        <v>57.409199999999998</v>
      </c>
      <c r="E392" s="105">
        <v>16.675899999999999</v>
      </c>
      <c r="F392" s="20">
        <v>8195</v>
      </c>
      <c r="G392" s="18">
        <v>0</v>
      </c>
      <c r="H392" s="53">
        <v>11</v>
      </c>
      <c r="I392" s="167">
        <f t="shared" si="657"/>
        <v>-0.74</v>
      </c>
      <c r="J392" s="104">
        <f t="shared" si="667"/>
        <v>0.95899999999999996</v>
      </c>
      <c r="K392" s="104">
        <f t="shared" si="658"/>
        <v>5.7000000000000002E-2</v>
      </c>
      <c r="L392" s="105">
        <f t="shared" si="659"/>
        <v>0.1925</v>
      </c>
      <c r="M392" s="105">
        <f t="shared" si="659"/>
        <v>0.12280000000000001</v>
      </c>
      <c r="N392" s="105">
        <f t="shared" si="659"/>
        <v>0.126</v>
      </c>
      <c r="O392" s="20">
        <f t="shared" si="660"/>
        <v>180</v>
      </c>
      <c r="P392" s="20">
        <f t="shared" si="660"/>
        <v>60</v>
      </c>
      <c r="Q392" s="104">
        <f t="shared" si="661"/>
        <v>1E-3</v>
      </c>
      <c r="R392" s="20">
        <f t="shared" si="662"/>
        <v>3</v>
      </c>
      <c r="S392" s="20">
        <f t="shared" si="662"/>
        <v>1500</v>
      </c>
      <c r="T392" s="104">
        <f t="shared" si="663"/>
        <v>0.1</v>
      </c>
      <c r="U392" s="53" t="s">
        <v>282</v>
      </c>
      <c r="V392" s="21"/>
      <c r="W392" s="58">
        <f t="shared" si="668"/>
        <v>35200</v>
      </c>
      <c r="X392" s="102">
        <f t="shared" si="669"/>
        <v>57.409199999999998</v>
      </c>
      <c r="Y392" s="102">
        <f t="shared" si="670"/>
        <v>16.675899999999999</v>
      </c>
      <c r="Z392" s="21">
        <f t="shared" si="671"/>
        <v>8195</v>
      </c>
      <c r="AA392" s="44">
        <f t="shared" si="672"/>
        <v>0</v>
      </c>
      <c r="AB392" s="21">
        <f t="shared" si="664"/>
        <v>11</v>
      </c>
      <c r="AC392" s="119">
        <f>ROUND(I392+mwreg!$G$40/100,3)</f>
        <v>-0.623</v>
      </c>
      <c r="AD392" s="108">
        <f>ROUND(J392+mwreg!$G$40/100,3)</f>
        <v>1.0760000000000001</v>
      </c>
      <c r="AE392" s="108">
        <f>ROUND(K392+mwreg!$G$40/100,3)</f>
        <v>0.17399999999999999</v>
      </c>
      <c r="AF392" s="102">
        <f t="shared" si="665"/>
        <v>0.1925</v>
      </c>
      <c r="AG392" s="102">
        <f t="shared" si="666"/>
        <v>0.12280000000000001</v>
      </c>
      <c r="AH392" s="109">
        <f t="shared" si="641"/>
        <v>0.126</v>
      </c>
      <c r="AI392" s="110">
        <f t="shared" si="642"/>
        <v>180</v>
      </c>
      <c r="AJ392" s="110">
        <f t="shared" si="643"/>
        <v>60</v>
      </c>
      <c r="AK392" s="108">
        <f t="shared" si="644"/>
        <v>1E-3</v>
      </c>
      <c r="AL392" s="110">
        <f t="shared" si="645"/>
        <v>3</v>
      </c>
      <c r="AM392" s="110">
        <f t="shared" si="646"/>
        <v>1500</v>
      </c>
      <c r="AN392" s="108">
        <f t="shared" si="647"/>
        <v>0.1</v>
      </c>
      <c r="AO392" s="186" t="str">
        <f t="shared" si="648"/>
        <v>NaN</v>
      </c>
    </row>
    <row r="393" spans="1:41" x14ac:dyDescent="0.2">
      <c r="A393" s="3" t="s">
        <v>296</v>
      </c>
      <c r="B393" s="3" t="s">
        <v>296</v>
      </c>
      <c r="C393" s="52">
        <v>35200</v>
      </c>
      <c r="D393" s="105">
        <v>57.409199999999998</v>
      </c>
      <c r="E393" s="105">
        <v>16.675899999999999</v>
      </c>
      <c r="F393" s="20">
        <v>8195</v>
      </c>
      <c r="G393" s="18">
        <v>0</v>
      </c>
      <c r="H393" s="53">
        <v>12</v>
      </c>
      <c r="I393" s="167">
        <f t="shared" si="657"/>
        <v>-0.60399999999999998</v>
      </c>
      <c r="J393" s="104">
        <f t="shared" si="667"/>
        <v>0.86199999999999999</v>
      </c>
      <c r="K393" s="104">
        <f t="shared" si="658"/>
        <v>9.7000000000000003E-2</v>
      </c>
      <c r="L393" s="105">
        <f t="shared" si="659"/>
        <v>0.19520000000000001</v>
      </c>
      <c r="M393" s="105">
        <f t="shared" si="659"/>
        <v>4.1099999999999998E-2</v>
      </c>
      <c r="N393" s="105">
        <f t="shared" si="659"/>
        <v>4.41E-2</v>
      </c>
      <c r="O393" s="20">
        <f t="shared" si="660"/>
        <v>180</v>
      </c>
      <c r="P393" s="20">
        <f t="shared" si="660"/>
        <v>60</v>
      </c>
      <c r="Q393" s="104">
        <f t="shared" si="661"/>
        <v>1E-3</v>
      </c>
      <c r="R393" s="20">
        <f t="shared" si="662"/>
        <v>3</v>
      </c>
      <c r="S393" s="20">
        <f t="shared" si="662"/>
        <v>1500</v>
      </c>
      <c r="T393" s="104">
        <f t="shared" si="663"/>
        <v>0.1</v>
      </c>
      <c r="U393" s="53" t="s">
        <v>282</v>
      </c>
      <c r="V393" s="21"/>
      <c r="W393" s="58">
        <f t="shared" si="668"/>
        <v>35200</v>
      </c>
      <c r="X393" s="102">
        <f t="shared" si="669"/>
        <v>57.409199999999998</v>
      </c>
      <c r="Y393" s="102">
        <f t="shared" si="670"/>
        <v>16.675899999999999</v>
      </c>
      <c r="Z393" s="21">
        <f t="shared" si="671"/>
        <v>8195</v>
      </c>
      <c r="AA393" s="44">
        <f t="shared" si="672"/>
        <v>0</v>
      </c>
      <c r="AB393" s="21">
        <f t="shared" si="664"/>
        <v>12</v>
      </c>
      <c r="AC393" s="119">
        <f>ROUND(I393+mwreg!$G$40/100,3)</f>
        <v>-0.48699999999999999</v>
      </c>
      <c r="AD393" s="108">
        <f>ROUND(J393+mwreg!$G$40/100,3)</f>
        <v>0.97899999999999998</v>
      </c>
      <c r="AE393" s="108">
        <f>ROUND(K393+mwreg!$G$40/100,3)</f>
        <v>0.214</v>
      </c>
      <c r="AF393" s="102">
        <f t="shared" si="665"/>
        <v>0.19520000000000001</v>
      </c>
      <c r="AG393" s="102">
        <f t="shared" si="666"/>
        <v>4.1099999999999998E-2</v>
      </c>
      <c r="AH393" s="109">
        <f t="shared" si="641"/>
        <v>4.41E-2</v>
      </c>
      <c r="AI393" s="110">
        <f t="shared" si="642"/>
        <v>180</v>
      </c>
      <c r="AJ393" s="110">
        <f t="shared" si="643"/>
        <v>60</v>
      </c>
      <c r="AK393" s="108">
        <f t="shared" si="644"/>
        <v>1E-3</v>
      </c>
      <c r="AL393" s="110">
        <f t="shared" si="645"/>
        <v>3</v>
      </c>
      <c r="AM393" s="110">
        <f t="shared" si="646"/>
        <v>1500</v>
      </c>
      <c r="AN393" s="108">
        <f t="shared" si="647"/>
        <v>0.1</v>
      </c>
      <c r="AO393" s="186" t="str">
        <f t="shared" si="648"/>
        <v>NaN</v>
      </c>
    </row>
    <row r="394" spans="1:41" x14ac:dyDescent="0.2">
      <c r="A394" s="3" t="str">
        <f>stat_uppg!A41</f>
        <v>2083/33061</v>
      </c>
      <c r="B394" s="3" t="str">
        <f>stat_uppg!B41</f>
        <v>ÖLANDS NORRA UDDE (SMHI)</v>
      </c>
      <c r="C394" s="55">
        <v>2083</v>
      </c>
      <c r="D394" s="79">
        <v>57.366100000000003</v>
      </c>
      <c r="E394" s="79">
        <v>17.097200000000001</v>
      </c>
      <c r="F394" s="14">
        <v>8195</v>
      </c>
      <c r="G394" s="10">
        <v>0</v>
      </c>
      <c r="H394" s="122">
        <v>1</v>
      </c>
      <c r="I394" s="165">
        <v>-0.64100000000000001</v>
      </c>
      <c r="J394" s="11">
        <v>1.3640000000000001</v>
      </c>
      <c r="K394" s="11">
        <v>0.17799999999999999</v>
      </c>
      <c r="L394" s="79">
        <v>0.2099</v>
      </c>
      <c r="M394" s="79">
        <v>2.3199999999999998E-2</v>
      </c>
      <c r="N394" s="79">
        <v>2.5999999999999999E-2</v>
      </c>
      <c r="O394" s="14">
        <v>180</v>
      </c>
      <c r="P394" s="14">
        <v>60</v>
      </c>
      <c r="Q394" s="11">
        <v>1E-3</v>
      </c>
      <c r="R394" s="14">
        <v>3</v>
      </c>
      <c r="S394" s="14">
        <v>1500</v>
      </c>
      <c r="T394" s="11">
        <v>0.1</v>
      </c>
      <c r="U394" s="122">
        <v>209609</v>
      </c>
      <c r="V394" s="35"/>
      <c r="W394" s="99">
        <f t="shared" si="668"/>
        <v>2083</v>
      </c>
      <c r="X394" s="100">
        <f t="shared" si="669"/>
        <v>57.366100000000003</v>
      </c>
      <c r="Y394" s="100">
        <f t="shared" si="670"/>
        <v>17.097200000000001</v>
      </c>
      <c r="Z394" s="22">
        <f t="shared" si="671"/>
        <v>8195</v>
      </c>
      <c r="AA394" s="35">
        <f t="shared" si="672"/>
        <v>0</v>
      </c>
      <c r="AB394" s="22">
        <f t="shared" si="664"/>
        <v>1</v>
      </c>
      <c r="AC394" s="118">
        <f>ROUND(I394+mwreg!$G$41/100,3)</f>
        <v>-0.52500000000000002</v>
      </c>
      <c r="AD394" s="83">
        <f>ROUND(J394+mwreg!$G$41/100,3)</f>
        <v>1.48</v>
      </c>
      <c r="AE394" s="83">
        <f>ROUND(K394+mwreg!$G$41/100,3)</f>
        <v>0.29399999999999998</v>
      </c>
      <c r="AF394" s="100">
        <f t="shared" si="665"/>
        <v>0.2099</v>
      </c>
      <c r="AG394" s="100">
        <f t="shared" si="666"/>
        <v>2.3199999999999998E-2</v>
      </c>
      <c r="AH394" s="84">
        <f t="shared" si="641"/>
        <v>2.5999999999999999E-2</v>
      </c>
      <c r="AI394" s="82">
        <f t="shared" si="642"/>
        <v>180</v>
      </c>
      <c r="AJ394" s="82">
        <f t="shared" si="643"/>
        <v>60</v>
      </c>
      <c r="AK394" s="83">
        <f t="shared" si="644"/>
        <v>1E-3</v>
      </c>
      <c r="AL394" s="82">
        <f t="shared" si="645"/>
        <v>3</v>
      </c>
      <c r="AM394" s="82">
        <f t="shared" si="646"/>
        <v>1500</v>
      </c>
      <c r="AN394" s="83">
        <f t="shared" si="647"/>
        <v>0.1</v>
      </c>
      <c r="AO394" s="188">
        <f t="shared" si="648"/>
        <v>209609</v>
      </c>
    </row>
    <row r="395" spans="1:41" x14ac:dyDescent="0.2">
      <c r="A395" s="3" t="s">
        <v>296</v>
      </c>
      <c r="B395" s="3" t="s">
        <v>296</v>
      </c>
      <c r="C395" s="55">
        <v>2083</v>
      </c>
      <c r="D395" s="79">
        <v>57.366100000000003</v>
      </c>
      <c r="E395" s="79">
        <v>17.097200000000001</v>
      </c>
      <c r="F395" s="14">
        <v>8195</v>
      </c>
      <c r="G395" s="10">
        <v>0</v>
      </c>
      <c r="H395" s="122">
        <v>2</v>
      </c>
      <c r="I395" s="165">
        <v>-0.71199999999999997</v>
      </c>
      <c r="J395" s="11">
        <v>1.1859999999999999</v>
      </c>
      <c r="K395" s="11">
        <v>0.10199999999999999</v>
      </c>
      <c r="L395" s="79">
        <v>0.2621</v>
      </c>
      <c r="M395" s="79">
        <v>1.6500000000000001E-2</v>
      </c>
      <c r="N395" s="79">
        <v>1.9E-2</v>
      </c>
      <c r="O395" s="14">
        <v>180</v>
      </c>
      <c r="P395" s="14">
        <v>60</v>
      </c>
      <c r="Q395" s="11">
        <v>1E-3</v>
      </c>
      <c r="R395" s="14">
        <v>3</v>
      </c>
      <c r="S395" s="14">
        <v>1500</v>
      </c>
      <c r="T395" s="11">
        <v>0.1</v>
      </c>
      <c r="U395" s="122">
        <v>191305</v>
      </c>
      <c r="V395" s="35"/>
      <c r="W395" s="99">
        <f t="shared" si="668"/>
        <v>2083</v>
      </c>
      <c r="X395" s="100">
        <f t="shared" si="669"/>
        <v>57.366100000000003</v>
      </c>
      <c r="Y395" s="100">
        <f t="shared" si="670"/>
        <v>17.097200000000001</v>
      </c>
      <c r="Z395" s="22">
        <f t="shared" si="671"/>
        <v>8195</v>
      </c>
      <c r="AA395" s="35">
        <f t="shared" si="672"/>
        <v>0</v>
      </c>
      <c r="AB395" s="22">
        <f t="shared" si="664"/>
        <v>2</v>
      </c>
      <c r="AC395" s="118">
        <f>ROUND(I395+mwreg!$G$41/100,3)</f>
        <v>-0.59599999999999997</v>
      </c>
      <c r="AD395" s="83">
        <f>ROUND(J395+mwreg!$G$41/100,3)</f>
        <v>1.302</v>
      </c>
      <c r="AE395" s="83">
        <f>ROUND(K395+mwreg!$G$41/100,3)</f>
        <v>0.218</v>
      </c>
      <c r="AF395" s="100">
        <f t="shared" si="665"/>
        <v>0.2621</v>
      </c>
      <c r="AG395" s="100">
        <f t="shared" si="666"/>
        <v>1.6500000000000001E-2</v>
      </c>
      <c r="AH395" s="84">
        <f t="shared" si="641"/>
        <v>1.9E-2</v>
      </c>
      <c r="AI395" s="82">
        <f t="shared" si="642"/>
        <v>180</v>
      </c>
      <c r="AJ395" s="82">
        <f t="shared" si="643"/>
        <v>60</v>
      </c>
      <c r="AK395" s="83">
        <f t="shared" si="644"/>
        <v>1E-3</v>
      </c>
      <c r="AL395" s="82">
        <f t="shared" si="645"/>
        <v>3</v>
      </c>
      <c r="AM395" s="82">
        <f t="shared" si="646"/>
        <v>1500</v>
      </c>
      <c r="AN395" s="83">
        <f t="shared" si="647"/>
        <v>0.1</v>
      </c>
      <c r="AO395" s="188">
        <f t="shared" si="648"/>
        <v>191305</v>
      </c>
    </row>
    <row r="396" spans="1:41" x14ac:dyDescent="0.2">
      <c r="A396" s="3" t="s">
        <v>296</v>
      </c>
      <c r="B396" s="3" t="s">
        <v>296</v>
      </c>
      <c r="C396" s="55">
        <v>2083</v>
      </c>
      <c r="D396" s="79">
        <v>57.366100000000003</v>
      </c>
      <c r="E396" s="79">
        <v>17.097200000000001</v>
      </c>
      <c r="F396" s="14">
        <v>8195</v>
      </c>
      <c r="G396" s="10">
        <v>0</v>
      </c>
      <c r="H396" s="122">
        <v>3</v>
      </c>
      <c r="I396" s="165">
        <v>-0.61799999999999999</v>
      </c>
      <c r="J396" s="11">
        <v>0.90500000000000003</v>
      </c>
      <c r="K396" s="11">
        <v>3.0000000000000001E-3</v>
      </c>
      <c r="L396" s="79">
        <v>0.2412</v>
      </c>
      <c r="M396" s="79">
        <v>5.67E-2</v>
      </c>
      <c r="N396" s="79">
        <v>5.8000000000000003E-2</v>
      </c>
      <c r="O396" s="14">
        <v>180</v>
      </c>
      <c r="P396" s="14">
        <v>60</v>
      </c>
      <c r="Q396" s="11">
        <v>1E-3</v>
      </c>
      <c r="R396" s="14">
        <v>3</v>
      </c>
      <c r="S396" s="14">
        <v>1500</v>
      </c>
      <c r="T396" s="11">
        <v>0.1</v>
      </c>
      <c r="U396" s="122">
        <v>209620</v>
      </c>
      <c r="V396" s="35"/>
      <c r="W396" s="99">
        <f t="shared" si="668"/>
        <v>2083</v>
      </c>
      <c r="X396" s="100">
        <f t="shared" si="669"/>
        <v>57.366100000000003</v>
      </c>
      <c r="Y396" s="100">
        <f t="shared" si="670"/>
        <v>17.097200000000001</v>
      </c>
      <c r="Z396" s="22">
        <f t="shared" si="671"/>
        <v>8195</v>
      </c>
      <c r="AA396" s="35">
        <f t="shared" si="672"/>
        <v>0</v>
      </c>
      <c r="AB396" s="22">
        <f t="shared" si="664"/>
        <v>3</v>
      </c>
      <c r="AC396" s="118">
        <f>ROUND(I396+mwreg!$G$41/100,3)</f>
        <v>-0.502</v>
      </c>
      <c r="AD396" s="83">
        <f>ROUND(J396+mwreg!$G$41/100,3)</f>
        <v>1.0209999999999999</v>
      </c>
      <c r="AE396" s="83">
        <f>ROUND(K396+mwreg!$G$41/100,3)</f>
        <v>0.11899999999999999</v>
      </c>
      <c r="AF396" s="100">
        <f t="shared" si="665"/>
        <v>0.2412</v>
      </c>
      <c r="AG396" s="100">
        <f t="shared" si="666"/>
        <v>5.67E-2</v>
      </c>
      <c r="AH396" s="84">
        <f t="shared" si="641"/>
        <v>5.8000000000000003E-2</v>
      </c>
      <c r="AI396" s="82">
        <f t="shared" si="642"/>
        <v>180</v>
      </c>
      <c r="AJ396" s="82">
        <f t="shared" si="643"/>
        <v>60</v>
      </c>
      <c r="AK396" s="83">
        <f t="shared" si="644"/>
        <v>1E-3</v>
      </c>
      <c r="AL396" s="82">
        <f t="shared" si="645"/>
        <v>3</v>
      </c>
      <c r="AM396" s="82">
        <f t="shared" si="646"/>
        <v>1500</v>
      </c>
      <c r="AN396" s="83">
        <f t="shared" si="647"/>
        <v>0.1</v>
      </c>
      <c r="AO396" s="188">
        <f t="shared" si="648"/>
        <v>209620</v>
      </c>
    </row>
    <row r="397" spans="1:41" x14ac:dyDescent="0.2">
      <c r="A397" s="3" t="s">
        <v>296</v>
      </c>
      <c r="B397" s="3" t="s">
        <v>296</v>
      </c>
      <c r="C397" s="55">
        <v>2083</v>
      </c>
      <c r="D397" s="79">
        <v>57.366100000000003</v>
      </c>
      <c r="E397" s="79">
        <v>17.097200000000001</v>
      </c>
      <c r="F397" s="14">
        <v>8195</v>
      </c>
      <c r="G397" s="10">
        <v>0</v>
      </c>
      <c r="H397" s="122">
        <v>4</v>
      </c>
      <c r="I397" s="165">
        <v>-0.58399999999999996</v>
      </c>
      <c r="J397" s="11">
        <v>0.93100000000000005</v>
      </c>
      <c r="K397" s="11">
        <v>-7.4999999999999997E-2</v>
      </c>
      <c r="L397" s="79">
        <v>0.15759999999999999</v>
      </c>
      <c r="M397" s="79">
        <v>1.09E-2</v>
      </c>
      <c r="N397" s="79">
        <v>1.2999999999999999E-2</v>
      </c>
      <c r="O397" s="14">
        <v>180</v>
      </c>
      <c r="P397" s="14">
        <v>60</v>
      </c>
      <c r="Q397" s="11">
        <v>1E-3</v>
      </c>
      <c r="R397" s="14">
        <v>3</v>
      </c>
      <c r="S397" s="14">
        <v>1500</v>
      </c>
      <c r="T397" s="11">
        <v>0.1</v>
      </c>
      <c r="U397" s="122">
        <v>198821</v>
      </c>
      <c r="V397" s="35"/>
      <c r="W397" s="99">
        <f t="shared" si="668"/>
        <v>2083</v>
      </c>
      <c r="X397" s="100">
        <f t="shared" si="669"/>
        <v>57.366100000000003</v>
      </c>
      <c r="Y397" s="100">
        <f t="shared" si="670"/>
        <v>17.097200000000001</v>
      </c>
      <c r="Z397" s="22">
        <f t="shared" si="671"/>
        <v>8195</v>
      </c>
      <c r="AA397" s="35">
        <f t="shared" si="672"/>
        <v>0</v>
      </c>
      <c r="AB397" s="22">
        <f t="shared" si="664"/>
        <v>4</v>
      </c>
      <c r="AC397" s="118">
        <f>ROUND(I397+mwreg!$G$41/100,3)</f>
        <v>-0.46800000000000003</v>
      </c>
      <c r="AD397" s="83">
        <f>ROUND(J397+mwreg!$G$41/100,3)</f>
        <v>1.0469999999999999</v>
      </c>
      <c r="AE397" s="83">
        <f>ROUND(K397+mwreg!$G$41/100,3)</f>
        <v>4.1000000000000002E-2</v>
      </c>
      <c r="AF397" s="100">
        <f t="shared" si="665"/>
        <v>0.15759999999999999</v>
      </c>
      <c r="AG397" s="100">
        <f t="shared" si="666"/>
        <v>1.09E-2</v>
      </c>
      <c r="AH397" s="84">
        <f t="shared" si="641"/>
        <v>1.2999999999999999E-2</v>
      </c>
      <c r="AI397" s="82">
        <f t="shared" si="642"/>
        <v>180</v>
      </c>
      <c r="AJ397" s="82">
        <f t="shared" si="643"/>
        <v>60</v>
      </c>
      <c r="AK397" s="83">
        <f t="shared" si="644"/>
        <v>1E-3</v>
      </c>
      <c r="AL397" s="82">
        <f t="shared" si="645"/>
        <v>3</v>
      </c>
      <c r="AM397" s="82">
        <f t="shared" si="646"/>
        <v>1500</v>
      </c>
      <c r="AN397" s="83">
        <f t="shared" si="647"/>
        <v>0.1</v>
      </c>
      <c r="AO397" s="188">
        <f t="shared" si="648"/>
        <v>198821</v>
      </c>
    </row>
    <row r="398" spans="1:41" x14ac:dyDescent="0.2">
      <c r="A398" s="3" t="s">
        <v>296</v>
      </c>
      <c r="B398" s="3" t="s">
        <v>296</v>
      </c>
      <c r="C398" s="55">
        <v>2083</v>
      </c>
      <c r="D398" s="79">
        <v>57.366100000000003</v>
      </c>
      <c r="E398" s="79">
        <v>17.097200000000001</v>
      </c>
      <c r="F398" s="14">
        <v>8195</v>
      </c>
      <c r="G398" s="10">
        <v>0</v>
      </c>
      <c r="H398" s="122">
        <v>5</v>
      </c>
      <c r="I398" s="165">
        <v>-0.501</v>
      </c>
      <c r="J398" s="11">
        <v>0.52200000000000002</v>
      </c>
      <c r="K398" s="11">
        <v>-4.5999999999999999E-2</v>
      </c>
      <c r="L398" s="79">
        <v>0.1192</v>
      </c>
      <c r="M398" s="79">
        <v>0.13850000000000001</v>
      </c>
      <c r="N398" s="79">
        <v>0.14000000000000001</v>
      </c>
      <c r="O398" s="14">
        <v>180</v>
      </c>
      <c r="P398" s="14">
        <v>60</v>
      </c>
      <c r="Q398" s="11">
        <v>1E-3</v>
      </c>
      <c r="R398" s="14">
        <v>3</v>
      </c>
      <c r="S398" s="14">
        <v>1500</v>
      </c>
      <c r="T398" s="11">
        <v>0.1</v>
      </c>
      <c r="U398" s="122">
        <v>206432</v>
      </c>
      <c r="V398" s="35"/>
      <c r="W398" s="99">
        <f t="shared" si="668"/>
        <v>2083</v>
      </c>
      <c r="X398" s="100">
        <f t="shared" si="669"/>
        <v>57.366100000000003</v>
      </c>
      <c r="Y398" s="100">
        <f t="shared" si="670"/>
        <v>17.097200000000001</v>
      </c>
      <c r="Z398" s="22">
        <f t="shared" si="671"/>
        <v>8195</v>
      </c>
      <c r="AA398" s="35">
        <f t="shared" si="672"/>
        <v>0</v>
      </c>
      <c r="AB398" s="22">
        <f t="shared" si="664"/>
        <v>5</v>
      </c>
      <c r="AC398" s="118">
        <f>ROUND(I398+mwreg!$G$41/100,3)</f>
        <v>-0.38500000000000001</v>
      </c>
      <c r="AD398" s="83">
        <f>ROUND(J398+mwreg!$G$41/100,3)</f>
        <v>0.63800000000000001</v>
      </c>
      <c r="AE398" s="83">
        <f>ROUND(K398+mwreg!$G$41/100,3)</f>
        <v>7.0000000000000007E-2</v>
      </c>
      <c r="AF398" s="100">
        <f t="shared" si="665"/>
        <v>0.1192</v>
      </c>
      <c r="AG398" s="100">
        <f t="shared" si="666"/>
        <v>0.13850000000000001</v>
      </c>
      <c r="AH398" s="84">
        <f t="shared" ref="AH398:AH461" si="673">N398</f>
        <v>0.14000000000000001</v>
      </c>
      <c r="AI398" s="82">
        <f t="shared" ref="AI398:AI461" si="674">O398</f>
        <v>180</v>
      </c>
      <c r="AJ398" s="82">
        <f t="shared" ref="AJ398:AJ461" si="675">P398</f>
        <v>60</v>
      </c>
      <c r="AK398" s="83">
        <f t="shared" ref="AK398:AK461" si="676">Q398</f>
        <v>1E-3</v>
      </c>
      <c r="AL398" s="82">
        <f t="shared" ref="AL398:AL461" si="677">R398</f>
        <v>3</v>
      </c>
      <c r="AM398" s="82">
        <f t="shared" ref="AM398:AM461" si="678">S398</f>
        <v>1500</v>
      </c>
      <c r="AN398" s="83">
        <f t="shared" ref="AN398:AN461" si="679">T398</f>
        <v>0.1</v>
      </c>
      <c r="AO398" s="188">
        <f t="shared" si="648"/>
        <v>206432</v>
      </c>
    </row>
    <row r="399" spans="1:41" x14ac:dyDescent="0.2">
      <c r="A399" s="3" t="s">
        <v>296</v>
      </c>
      <c r="B399" s="3" t="s">
        <v>296</v>
      </c>
      <c r="C399" s="55">
        <v>2083</v>
      </c>
      <c r="D399" s="79">
        <v>57.366100000000003</v>
      </c>
      <c r="E399" s="79">
        <v>17.097200000000001</v>
      </c>
      <c r="F399" s="14">
        <v>8195</v>
      </c>
      <c r="G399" s="10">
        <v>0</v>
      </c>
      <c r="H399" s="122">
        <v>6</v>
      </c>
      <c r="I399" s="165">
        <v>-0.39400000000000002</v>
      </c>
      <c r="J399" s="11">
        <v>0.504</v>
      </c>
      <c r="K399" s="11">
        <v>-4.1000000000000002E-2</v>
      </c>
      <c r="L399" s="79">
        <v>0.10639999999999999</v>
      </c>
      <c r="M399" s="79">
        <v>8.0000000000000002E-3</v>
      </c>
      <c r="N399" s="79">
        <v>8.9999999999999993E-3</v>
      </c>
      <c r="O399" s="14">
        <v>180</v>
      </c>
      <c r="P399" s="14">
        <v>60</v>
      </c>
      <c r="Q399" s="11">
        <v>1E-3</v>
      </c>
      <c r="R399" s="14">
        <v>3</v>
      </c>
      <c r="S399" s="14">
        <v>1500</v>
      </c>
      <c r="T399" s="11">
        <v>0.1</v>
      </c>
      <c r="U399" s="122">
        <v>194629</v>
      </c>
      <c r="V399" s="35"/>
      <c r="W399" s="99">
        <f t="shared" si="668"/>
        <v>2083</v>
      </c>
      <c r="X399" s="100">
        <f t="shared" si="669"/>
        <v>57.366100000000003</v>
      </c>
      <c r="Y399" s="100">
        <f t="shared" si="670"/>
        <v>17.097200000000001</v>
      </c>
      <c r="Z399" s="22">
        <f t="shared" si="671"/>
        <v>8195</v>
      </c>
      <c r="AA399" s="35">
        <f t="shared" si="672"/>
        <v>0</v>
      </c>
      <c r="AB399" s="22">
        <f t="shared" si="664"/>
        <v>6</v>
      </c>
      <c r="AC399" s="118">
        <f>ROUND(I399+mwreg!$G$41/100,3)</f>
        <v>-0.27800000000000002</v>
      </c>
      <c r="AD399" s="83">
        <f>ROUND(J399+mwreg!$G$41/100,3)</f>
        <v>0.62</v>
      </c>
      <c r="AE399" s="83">
        <f>ROUND(K399+mwreg!$G$41/100,3)</f>
        <v>7.4999999999999997E-2</v>
      </c>
      <c r="AF399" s="100">
        <f t="shared" si="665"/>
        <v>0.10639999999999999</v>
      </c>
      <c r="AG399" s="100">
        <f t="shared" si="666"/>
        <v>8.0000000000000002E-3</v>
      </c>
      <c r="AH399" s="84">
        <f t="shared" si="673"/>
        <v>8.9999999999999993E-3</v>
      </c>
      <c r="AI399" s="82">
        <f t="shared" si="674"/>
        <v>180</v>
      </c>
      <c r="AJ399" s="82">
        <f t="shared" si="675"/>
        <v>60</v>
      </c>
      <c r="AK399" s="83">
        <f t="shared" si="676"/>
        <v>1E-3</v>
      </c>
      <c r="AL399" s="82">
        <f t="shared" si="677"/>
        <v>3</v>
      </c>
      <c r="AM399" s="82">
        <f t="shared" si="678"/>
        <v>1500</v>
      </c>
      <c r="AN399" s="83">
        <f t="shared" si="679"/>
        <v>0.1</v>
      </c>
      <c r="AO399" s="188">
        <f t="shared" si="648"/>
        <v>194629</v>
      </c>
    </row>
    <row r="400" spans="1:41" x14ac:dyDescent="0.2">
      <c r="A400" s="3" t="s">
        <v>296</v>
      </c>
      <c r="B400" s="3" t="s">
        <v>296</v>
      </c>
      <c r="C400" s="55">
        <v>2083</v>
      </c>
      <c r="D400" s="79">
        <v>57.366100000000003</v>
      </c>
      <c r="E400" s="79">
        <v>17.097200000000001</v>
      </c>
      <c r="F400" s="14">
        <v>8195</v>
      </c>
      <c r="G400" s="10">
        <v>0</v>
      </c>
      <c r="H400" s="122">
        <v>7</v>
      </c>
      <c r="I400" s="165">
        <v>-0.28299999999999997</v>
      </c>
      <c r="J400" s="11">
        <v>0.66300000000000003</v>
      </c>
      <c r="K400" s="11">
        <v>8.5999999999999993E-2</v>
      </c>
      <c r="L400" s="79">
        <v>0.1033</v>
      </c>
      <c r="M400" s="79">
        <v>7.1999999999999998E-3</v>
      </c>
      <c r="N400" s="79">
        <v>8.0000000000000002E-3</v>
      </c>
      <c r="O400" s="14">
        <v>180</v>
      </c>
      <c r="P400" s="14">
        <v>60</v>
      </c>
      <c r="Q400" s="11">
        <v>1E-3</v>
      </c>
      <c r="R400" s="14">
        <v>3</v>
      </c>
      <c r="S400" s="14">
        <v>1500</v>
      </c>
      <c r="T400" s="11">
        <v>0.1</v>
      </c>
      <c r="U400" s="122">
        <v>201775</v>
      </c>
      <c r="V400" s="35"/>
      <c r="W400" s="99">
        <f t="shared" si="668"/>
        <v>2083</v>
      </c>
      <c r="X400" s="100">
        <f t="shared" si="669"/>
        <v>57.366100000000003</v>
      </c>
      <c r="Y400" s="100">
        <f t="shared" si="670"/>
        <v>17.097200000000001</v>
      </c>
      <c r="Z400" s="22">
        <f t="shared" si="671"/>
        <v>8195</v>
      </c>
      <c r="AA400" s="35">
        <f t="shared" si="672"/>
        <v>0</v>
      </c>
      <c r="AB400" s="22">
        <f t="shared" si="664"/>
        <v>7</v>
      </c>
      <c r="AC400" s="118">
        <f>ROUND(I400+mwreg!$G$41/100,3)</f>
        <v>-0.16700000000000001</v>
      </c>
      <c r="AD400" s="83">
        <f>ROUND(J400+mwreg!$G$41/100,3)</f>
        <v>0.77900000000000003</v>
      </c>
      <c r="AE400" s="83">
        <f>ROUND(K400+mwreg!$G$41/100,3)</f>
        <v>0.20200000000000001</v>
      </c>
      <c r="AF400" s="100">
        <f t="shared" si="665"/>
        <v>0.1033</v>
      </c>
      <c r="AG400" s="100">
        <f t="shared" si="666"/>
        <v>7.1999999999999998E-3</v>
      </c>
      <c r="AH400" s="84">
        <f t="shared" si="673"/>
        <v>8.0000000000000002E-3</v>
      </c>
      <c r="AI400" s="82">
        <f t="shared" si="674"/>
        <v>180</v>
      </c>
      <c r="AJ400" s="82">
        <f t="shared" si="675"/>
        <v>60</v>
      </c>
      <c r="AK400" s="83">
        <f t="shared" si="676"/>
        <v>1E-3</v>
      </c>
      <c r="AL400" s="82">
        <f t="shared" si="677"/>
        <v>3</v>
      </c>
      <c r="AM400" s="82">
        <f t="shared" si="678"/>
        <v>1500</v>
      </c>
      <c r="AN400" s="83">
        <f t="shared" si="679"/>
        <v>0.1</v>
      </c>
      <c r="AO400" s="188">
        <f t="shared" si="648"/>
        <v>201775</v>
      </c>
    </row>
    <row r="401" spans="1:41" x14ac:dyDescent="0.2">
      <c r="A401" s="3" t="s">
        <v>296</v>
      </c>
      <c r="B401" s="3" t="s">
        <v>296</v>
      </c>
      <c r="C401" s="55">
        <v>2083</v>
      </c>
      <c r="D401" s="79">
        <v>57.366100000000003</v>
      </c>
      <c r="E401" s="79">
        <v>17.097200000000001</v>
      </c>
      <c r="F401" s="14">
        <v>8195</v>
      </c>
      <c r="G401" s="10">
        <v>0</v>
      </c>
      <c r="H401" s="122">
        <v>8</v>
      </c>
      <c r="I401" s="165">
        <v>-0.311</v>
      </c>
      <c r="J401" s="11">
        <v>1.0609999999999999</v>
      </c>
      <c r="K401" s="11">
        <v>3.7999999999999999E-2</v>
      </c>
      <c r="L401" s="79">
        <v>9.6600000000000005E-2</v>
      </c>
      <c r="M401" s="79">
        <v>2.8799999999999999E-2</v>
      </c>
      <c r="N401" s="79">
        <v>0.03</v>
      </c>
      <c r="O401" s="14">
        <v>180</v>
      </c>
      <c r="P401" s="14">
        <v>60</v>
      </c>
      <c r="Q401" s="11">
        <v>1E-3</v>
      </c>
      <c r="R401" s="14">
        <v>3</v>
      </c>
      <c r="S401" s="14">
        <v>1500</v>
      </c>
      <c r="T401" s="11">
        <v>0.1</v>
      </c>
      <c r="U401" s="122">
        <v>207305</v>
      </c>
      <c r="V401" s="35"/>
      <c r="W401" s="99">
        <f t="shared" si="668"/>
        <v>2083</v>
      </c>
      <c r="X401" s="100">
        <f t="shared" si="669"/>
        <v>57.366100000000003</v>
      </c>
      <c r="Y401" s="100">
        <f t="shared" si="670"/>
        <v>17.097200000000001</v>
      </c>
      <c r="Z401" s="22">
        <f t="shared" si="671"/>
        <v>8195</v>
      </c>
      <c r="AA401" s="35">
        <f t="shared" si="672"/>
        <v>0</v>
      </c>
      <c r="AB401" s="22">
        <f t="shared" si="664"/>
        <v>8</v>
      </c>
      <c r="AC401" s="118">
        <f>ROUND(I401+mwreg!$G$41/100,3)</f>
        <v>-0.19500000000000001</v>
      </c>
      <c r="AD401" s="83">
        <f>ROUND(J401+mwreg!$G$41/100,3)</f>
        <v>1.177</v>
      </c>
      <c r="AE401" s="83">
        <f>ROUND(K401+mwreg!$G$41/100,3)</f>
        <v>0.154</v>
      </c>
      <c r="AF401" s="100">
        <f t="shared" si="665"/>
        <v>9.6600000000000005E-2</v>
      </c>
      <c r="AG401" s="100">
        <f t="shared" si="666"/>
        <v>2.8799999999999999E-2</v>
      </c>
      <c r="AH401" s="84">
        <f t="shared" si="673"/>
        <v>0.03</v>
      </c>
      <c r="AI401" s="82">
        <f t="shared" si="674"/>
        <v>180</v>
      </c>
      <c r="AJ401" s="82">
        <f t="shared" si="675"/>
        <v>60</v>
      </c>
      <c r="AK401" s="83">
        <f t="shared" si="676"/>
        <v>1E-3</v>
      </c>
      <c r="AL401" s="82">
        <f t="shared" si="677"/>
        <v>3</v>
      </c>
      <c r="AM401" s="82">
        <f t="shared" si="678"/>
        <v>1500</v>
      </c>
      <c r="AN401" s="83">
        <f t="shared" si="679"/>
        <v>0.1</v>
      </c>
      <c r="AO401" s="188">
        <f t="shared" si="648"/>
        <v>207305</v>
      </c>
    </row>
    <row r="402" spans="1:41" x14ac:dyDescent="0.2">
      <c r="A402" s="3" t="s">
        <v>296</v>
      </c>
      <c r="B402" s="3" t="s">
        <v>296</v>
      </c>
      <c r="C402" s="55">
        <v>2083</v>
      </c>
      <c r="D402" s="79">
        <v>57.366100000000003</v>
      </c>
      <c r="E402" s="79">
        <v>17.097200000000001</v>
      </c>
      <c r="F402" s="14">
        <v>8195</v>
      </c>
      <c r="G402" s="10">
        <v>0</v>
      </c>
      <c r="H402" s="122">
        <v>9</v>
      </c>
      <c r="I402" s="165">
        <v>-0.44800000000000001</v>
      </c>
      <c r="J402" s="11">
        <v>1.03</v>
      </c>
      <c r="K402" s="11">
        <v>9.7000000000000003E-2</v>
      </c>
      <c r="L402" s="79">
        <v>0.13159999999999999</v>
      </c>
      <c r="M402" s="79">
        <v>6.8400000000000002E-2</v>
      </c>
      <c r="N402" s="79">
        <v>7.0000000000000007E-2</v>
      </c>
      <c r="O402" s="14">
        <v>180</v>
      </c>
      <c r="P402" s="14">
        <v>60</v>
      </c>
      <c r="Q402" s="11">
        <v>1E-3</v>
      </c>
      <c r="R402" s="14">
        <v>3</v>
      </c>
      <c r="S402" s="14">
        <v>1500</v>
      </c>
      <c r="T402" s="11">
        <v>0.1</v>
      </c>
      <c r="U402" s="122">
        <v>199992</v>
      </c>
      <c r="V402" s="35"/>
      <c r="W402" s="99">
        <f t="shared" si="668"/>
        <v>2083</v>
      </c>
      <c r="X402" s="100">
        <f t="shared" si="669"/>
        <v>57.366100000000003</v>
      </c>
      <c r="Y402" s="100">
        <f t="shared" si="670"/>
        <v>17.097200000000001</v>
      </c>
      <c r="Z402" s="22">
        <f t="shared" si="671"/>
        <v>8195</v>
      </c>
      <c r="AA402" s="35">
        <f t="shared" si="672"/>
        <v>0</v>
      </c>
      <c r="AB402" s="22">
        <f t="shared" si="664"/>
        <v>9</v>
      </c>
      <c r="AC402" s="118">
        <f>ROUND(I402+mwreg!$G$41/100,3)</f>
        <v>-0.33200000000000002</v>
      </c>
      <c r="AD402" s="83">
        <f>ROUND(J402+mwreg!$G$41/100,3)</f>
        <v>1.1459999999999999</v>
      </c>
      <c r="AE402" s="83">
        <f>ROUND(K402+mwreg!$G$41/100,3)</f>
        <v>0.21299999999999999</v>
      </c>
      <c r="AF402" s="100">
        <f t="shared" si="665"/>
        <v>0.13159999999999999</v>
      </c>
      <c r="AG402" s="100">
        <f t="shared" si="666"/>
        <v>6.8400000000000002E-2</v>
      </c>
      <c r="AH402" s="84">
        <f t="shared" si="673"/>
        <v>7.0000000000000007E-2</v>
      </c>
      <c r="AI402" s="82">
        <f t="shared" si="674"/>
        <v>180</v>
      </c>
      <c r="AJ402" s="82">
        <f t="shared" si="675"/>
        <v>60</v>
      </c>
      <c r="AK402" s="83">
        <f t="shared" si="676"/>
        <v>1E-3</v>
      </c>
      <c r="AL402" s="82">
        <f t="shared" si="677"/>
        <v>3</v>
      </c>
      <c r="AM402" s="82">
        <f t="shared" si="678"/>
        <v>1500</v>
      </c>
      <c r="AN402" s="83">
        <f t="shared" si="679"/>
        <v>0.1</v>
      </c>
      <c r="AO402" s="188">
        <f t="shared" si="648"/>
        <v>199992</v>
      </c>
    </row>
    <row r="403" spans="1:41" x14ac:dyDescent="0.2">
      <c r="A403" s="3" t="s">
        <v>296</v>
      </c>
      <c r="B403" s="3" t="s">
        <v>296</v>
      </c>
      <c r="C403" s="55">
        <v>2083</v>
      </c>
      <c r="D403" s="79">
        <v>57.366100000000003</v>
      </c>
      <c r="E403" s="79">
        <v>17.097200000000001</v>
      </c>
      <c r="F403" s="14">
        <v>8195</v>
      </c>
      <c r="G403" s="10">
        <v>0</v>
      </c>
      <c r="H403" s="122">
        <v>10</v>
      </c>
      <c r="I403" s="165">
        <v>-0.51200000000000001</v>
      </c>
      <c r="J403" s="11">
        <v>0.97199999999999998</v>
      </c>
      <c r="K403" s="11">
        <v>0.1</v>
      </c>
      <c r="L403" s="79">
        <v>0.1799</v>
      </c>
      <c r="M403" s="79">
        <v>0.32769999999999999</v>
      </c>
      <c r="N403" s="79">
        <v>0.33</v>
      </c>
      <c r="O403" s="14">
        <v>180</v>
      </c>
      <c r="P403" s="14">
        <v>60</v>
      </c>
      <c r="Q403" s="11">
        <v>1E-3</v>
      </c>
      <c r="R403" s="14">
        <v>3</v>
      </c>
      <c r="S403" s="14">
        <v>1500</v>
      </c>
      <c r="T403" s="11">
        <v>0.1</v>
      </c>
      <c r="U403" s="122">
        <v>215111</v>
      </c>
      <c r="V403" s="35"/>
      <c r="W403" s="99">
        <f t="shared" si="668"/>
        <v>2083</v>
      </c>
      <c r="X403" s="100">
        <f t="shared" si="669"/>
        <v>57.366100000000003</v>
      </c>
      <c r="Y403" s="100">
        <f t="shared" si="670"/>
        <v>17.097200000000001</v>
      </c>
      <c r="Z403" s="22">
        <f t="shared" si="671"/>
        <v>8195</v>
      </c>
      <c r="AA403" s="35">
        <f t="shared" si="672"/>
        <v>0</v>
      </c>
      <c r="AB403" s="22">
        <f t="shared" si="664"/>
        <v>10</v>
      </c>
      <c r="AC403" s="118">
        <f>ROUND(I403+mwreg!$G$41/100,3)</f>
        <v>-0.39600000000000002</v>
      </c>
      <c r="AD403" s="83">
        <f>ROUND(J403+mwreg!$G$41/100,3)</f>
        <v>1.0880000000000001</v>
      </c>
      <c r="AE403" s="83">
        <f>ROUND(K403+mwreg!$G$41/100,3)</f>
        <v>0.216</v>
      </c>
      <c r="AF403" s="100">
        <f t="shared" si="665"/>
        <v>0.1799</v>
      </c>
      <c r="AG403" s="100">
        <f t="shared" si="666"/>
        <v>0.32769999999999999</v>
      </c>
      <c r="AH403" s="84">
        <f t="shared" si="673"/>
        <v>0.33</v>
      </c>
      <c r="AI403" s="82">
        <f t="shared" si="674"/>
        <v>180</v>
      </c>
      <c r="AJ403" s="82">
        <f t="shared" si="675"/>
        <v>60</v>
      </c>
      <c r="AK403" s="83">
        <f t="shared" si="676"/>
        <v>1E-3</v>
      </c>
      <c r="AL403" s="82">
        <f t="shared" si="677"/>
        <v>3</v>
      </c>
      <c r="AM403" s="82">
        <f t="shared" si="678"/>
        <v>1500</v>
      </c>
      <c r="AN403" s="83">
        <f t="shared" si="679"/>
        <v>0.1</v>
      </c>
      <c r="AO403" s="188">
        <f t="shared" si="648"/>
        <v>215111</v>
      </c>
    </row>
    <row r="404" spans="1:41" x14ac:dyDescent="0.2">
      <c r="A404" s="3" t="s">
        <v>296</v>
      </c>
      <c r="B404" s="3" t="s">
        <v>296</v>
      </c>
      <c r="C404" s="55">
        <v>2083</v>
      </c>
      <c r="D404" s="79">
        <v>57.366100000000003</v>
      </c>
      <c r="E404" s="79">
        <v>17.097200000000001</v>
      </c>
      <c r="F404" s="14">
        <v>8195</v>
      </c>
      <c r="G404" s="10">
        <v>0</v>
      </c>
      <c r="H404" s="122">
        <v>11</v>
      </c>
      <c r="I404" s="165">
        <v>-0.64800000000000002</v>
      </c>
      <c r="J404" s="11">
        <v>1.3169999999999999</v>
      </c>
      <c r="K404" s="11">
        <v>8.4000000000000005E-2</v>
      </c>
      <c r="L404" s="79">
        <v>0.21429999999999999</v>
      </c>
      <c r="M404" s="79">
        <v>2.5499999999999998E-2</v>
      </c>
      <c r="N404" s="79">
        <v>2.75E-2</v>
      </c>
      <c r="O404" s="14">
        <v>180</v>
      </c>
      <c r="P404" s="14">
        <v>60</v>
      </c>
      <c r="Q404" s="11">
        <v>1E-3</v>
      </c>
      <c r="R404" s="14">
        <v>3</v>
      </c>
      <c r="S404" s="14">
        <v>1500</v>
      </c>
      <c r="T404" s="11">
        <v>0.1</v>
      </c>
      <c r="U404" s="122">
        <v>238189</v>
      </c>
      <c r="V404" s="35"/>
      <c r="W404" s="99">
        <f t="shared" si="668"/>
        <v>2083</v>
      </c>
      <c r="X404" s="100">
        <f t="shared" si="669"/>
        <v>57.366100000000003</v>
      </c>
      <c r="Y404" s="100">
        <f t="shared" si="670"/>
        <v>17.097200000000001</v>
      </c>
      <c r="Z404" s="22">
        <f t="shared" si="671"/>
        <v>8195</v>
      </c>
      <c r="AA404" s="35">
        <f t="shared" si="672"/>
        <v>0</v>
      </c>
      <c r="AB404" s="22">
        <f t="shared" si="664"/>
        <v>11</v>
      </c>
      <c r="AC404" s="118">
        <f>ROUND(I404+mwreg!$G$41/100,3)</f>
        <v>-0.53200000000000003</v>
      </c>
      <c r="AD404" s="83">
        <f>ROUND(J404+mwreg!$G$41/100,3)</f>
        <v>1.4330000000000001</v>
      </c>
      <c r="AE404" s="83">
        <f>ROUND(K404+mwreg!$G$41/100,3)</f>
        <v>0.2</v>
      </c>
      <c r="AF404" s="100">
        <f t="shared" si="665"/>
        <v>0.21429999999999999</v>
      </c>
      <c r="AG404" s="100">
        <f t="shared" si="666"/>
        <v>2.5499999999999998E-2</v>
      </c>
      <c r="AH404" s="84">
        <f t="shared" si="673"/>
        <v>2.75E-2</v>
      </c>
      <c r="AI404" s="82">
        <f t="shared" si="674"/>
        <v>180</v>
      </c>
      <c r="AJ404" s="82">
        <f t="shared" si="675"/>
        <v>60</v>
      </c>
      <c r="AK404" s="83">
        <f t="shared" si="676"/>
        <v>1E-3</v>
      </c>
      <c r="AL404" s="82">
        <f t="shared" si="677"/>
        <v>3</v>
      </c>
      <c r="AM404" s="82">
        <f t="shared" si="678"/>
        <v>1500</v>
      </c>
      <c r="AN404" s="83">
        <f t="shared" si="679"/>
        <v>0.1</v>
      </c>
      <c r="AO404" s="188">
        <f t="shared" si="648"/>
        <v>238189</v>
      </c>
    </row>
    <row r="405" spans="1:41" x14ac:dyDescent="0.2">
      <c r="A405" s="3" t="s">
        <v>296</v>
      </c>
      <c r="B405" s="3" t="s">
        <v>296</v>
      </c>
      <c r="C405" s="55">
        <v>2083</v>
      </c>
      <c r="D405" s="79">
        <v>57.366100000000003</v>
      </c>
      <c r="E405" s="79">
        <v>17.097200000000001</v>
      </c>
      <c r="F405" s="14">
        <v>8195</v>
      </c>
      <c r="G405" s="10">
        <v>0</v>
      </c>
      <c r="H405" s="122">
        <v>12</v>
      </c>
      <c r="I405" s="165">
        <v>-0.58099999999999996</v>
      </c>
      <c r="J405" s="11">
        <v>1.173</v>
      </c>
      <c r="K405" s="11">
        <v>0.14000000000000001</v>
      </c>
      <c r="L405" s="79">
        <v>0.2175</v>
      </c>
      <c r="M405" s="79">
        <v>1.38E-2</v>
      </c>
      <c r="N405" s="79">
        <v>1.6E-2</v>
      </c>
      <c r="O405" s="14">
        <v>180</v>
      </c>
      <c r="P405" s="14">
        <v>60</v>
      </c>
      <c r="Q405" s="11">
        <v>1E-3</v>
      </c>
      <c r="R405" s="14">
        <v>3</v>
      </c>
      <c r="S405" s="14">
        <v>1500</v>
      </c>
      <c r="T405" s="11">
        <v>0.1</v>
      </c>
      <c r="U405" s="122">
        <v>214148</v>
      </c>
      <c r="V405" s="35"/>
      <c r="W405" s="99">
        <f t="shared" si="668"/>
        <v>2083</v>
      </c>
      <c r="X405" s="100">
        <f t="shared" si="669"/>
        <v>57.366100000000003</v>
      </c>
      <c r="Y405" s="100">
        <f t="shared" si="670"/>
        <v>17.097200000000001</v>
      </c>
      <c r="Z405" s="22">
        <f t="shared" si="671"/>
        <v>8195</v>
      </c>
      <c r="AA405" s="35">
        <f t="shared" si="672"/>
        <v>0</v>
      </c>
      <c r="AB405" s="22">
        <f t="shared" si="664"/>
        <v>12</v>
      </c>
      <c r="AC405" s="118">
        <f>ROUND(I405+mwreg!$G$41/100,3)</f>
        <v>-0.46500000000000002</v>
      </c>
      <c r="AD405" s="83">
        <f>ROUND(J405+mwreg!$G$41/100,3)</f>
        <v>1.2889999999999999</v>
      </c>
      <c r="AE405" s="83">
        <f>ROUND(K405+mwreg!$G$41/100,3)</f>
        <v>0.25600000000000001</v>
      </c>
      <c r="AF405" s="100">
        <f t="shared" si="665"/>
        <v>0.2175</v>
      </c>
      <c r="AG405" s="100">
        <f t="shared" si="666"/>
        <v>1.38E-2</v>
      </c>
      <c r="AH405" s="84">
        <f t="shared" si="673"/>
        <v>1.6E-2</v>
      </c>
      <c r="AI405" s="82">
        <f t="shared" si="674"/>
        <v>180</v>
      </c>
      <c r="AJ405" s="82">
        <f t="shared" si="675"/>
        <v>60</v>
      </c>
      <c r="AK405" s="83">
        <f t="shared" si="676"/>
        <v>1E-3</v>
      </c>
      <c r="AL405" s="82">
        <f t="shared" si="677"/>
        <v>3</v>
      </c>
      <c r="AM405" s="82">
        <f t="shared" si="678"/>
        <v>1500</v>
      </c>
      <c r="AN405" s="83">
        <f t="shared" si="679"/>
        <v>0.1</v>
      </c>
      <c r="AO405" s="188">
        <f t="shared" si="648"/>
        <v>214148</v>
      </c>
    </row>
    <row r="406" spans="1:41" x14ac:dyDescent="0.2">
      <c r="A406" s="3" t="str">
        <f>stat_uppg!A42</f>
        <v>2085/33062</v>
      </c>
      <c r="B406" s="3" t="str">
        <f>stat_uppg!B42</f>
        <v>OSKARSHAMN (SMHI)</v>
      </c>
      <c r="C406" s="55">
        <v>2085</v>
      </c>
      <c r="D406" s="79">
        <v>57.274999999999999</v>
      </c>
      <c r="E406" s="79">
        <v>16.478100000000001</v>
      </c>
      <c r="F406" s="14">
        <v>8195</v>
      </c>
      <c r="G406" s="10">
        <v>0</v>
      </c>
      <c r="H406" s="122">
        <v>1</v>
      </c>
      <c r="I406" s="165">
        <v>-0.69699999999999995</v>
      </c>
      <c r="J406" s="11">
        <v>1.1479999999999999</v>
      </c>
      <c r="K406" s="11">
        <v>9.8000000000000004E-2</v>
      </c>
      <c r="L406" s="79">
        <v>0.26419999999999999</v>
      </c>
      <c r="M406" s="79">
        <v>4.87E-2</v>
      </c>
      <c r="N406" s="79">
        <v>5.1999999999999998E-2</v>
      </c>
      <c r="O406" s="14">
        <v>180</v>
      </c>
      <c r="P406" s="14">
        <v>60</v>
      </c>
      <c r="Q406" s="11">
        <v>1E-3</v>
      </c>
      <c r="R406" s="14">
        <v>3</v>
      </c>
      <c r="S406" s="14">
        <v>1500</v>
      </c>
      <c r="T406" s="11">
        <v>0.1</v>
      </c>
      <c r="U406" s="122">
        <v>227003</v>
      </c>
      <c r="V406" s="35"/>
      <c r="W406" s="99">
        <f t="shared" si="668"/>
        <v>2085</v>
      </c>
      <c r="X406" s="100">
        <f t="shared" si="669"/>
        <v>57.274999999999999</v>
      </c>
      <c r="Y406" s="100">
        <f t="shared" si="670"/>
        <v>16.478100000000001</v>
      </c>
      <c r="Z406" s="22">
        <f t="shared" si="671"/>
        <v>8195</v>
      </c>
      <c r="AA406" s="35">
        <f t="shared" si="672"/>
        <v>0</v>
      </c>
      <c r="AB406" s="22">
        <f t="shared" si="664"/>
        <v>1</v>
      </c>
      <c r="AC406" s="118">
        <f>ROUND(I406+mwreg!$G$42/100,3)</f>
        <v>-0.57699999999999996</v>
      </c>
      <c r="AD406" s="83">
        <f>ROUND(J406+mwreg!$G$42/100,3)</f>
        <v>1.268</v>
      </c>
      <c r="AE406" s="83">
        <f>ROUND(K406+mwreg!$G$42/100,3)</f>
        <v>0.218</v>
      </c>
      <c r="AF406" s="100">
        <f t="shared" si="665"/>
        <v>0.26419999999999999</v>
      </c>
      <c r="AG406" s="100">
        <f t="shared" si="666"/>
        <v>4.87E-2</v>
      </c>
      <c r="AH406" s="84">
        <f t="shared" si="673"/>
        <v>5.1999999999999998E-2</v>
      </c>
      <c r="AI406" s="82">
        <f t="shared" si="674"/>
        <v>180</v>
      </c>
      <c r="AJ406" s="82">
        <f t="shared" si="675"/>
        <v>60</v>
      </c>
      <c r="AK406" s="83">
        <f t="shared" si="676"/>
        <v>1E-3</v>
      </c>
      <c r="AL406" s="82">
        <f t="shared" si="677"/>
        <v>3</v>
      </c>
      <c r="AM406" s="82">
        <f t="shared" si="678"/>
        <v>1500</v>
      </c>
      <c r="AN406" s="83">
        <f t="shared" si="679"/>
        <v>0.1</v>
      </c>
      <c r="AO406" s="188">
        <f t="shared" ref="AO406:AO469" si="680">U406</f>
        <v>227003</v>
      </c>
    </row>
    <row r="407" spans="1:41" x14ac:dyDescent="0.2">
      <c r="A407" s="3" t="s">
        <v>296</v>
      </c>
      <c r="B407" s="3" t="s">
        <v>296</v>
      </c>
      <c r="C407" s="55">
        <v>2085</v>
      </c>
      <c r="D407" s="79">
        <v>57.274999999999999</v>
      </c>
      <c r="E407" s="79">
        <v>16.478100000000001</v>
      </c>
      <c r="F407" s="14">
        <v>8195</v>
      </c>
      <c r="G407" s="10">
        <v>0</v>
      </c>
      <c r="H407" s="122">
        <v>2</v>
      </c>
      <c r="I407" s="165">
        <v>-0.74</v>
      </c>
      <c r="J407" s="11">
        <v>0.98699999999999999</v>
      </c>
      <c r="K407" s="11">
        <v>4.7E-2</v>
      </c>
      <c r="L407" s="79">
        <v>0.2631</v>
      </c>
      <c r="M407" s="79">
        <v>4.5499999999999999E-2</v>
      </c>
      <c r="N407" s="79">
        <v>4.9000000000000002E-2</v>
      </c>
      <c r="O407" s="14">
        <v>180</v>
      </c>
      <c r="P407" s="14">
        <v>60</v>
      </c>
      <c r="Q407" s="11">
        <v>1E-3</v>
      </c>
      <c r="R407" s="14">
        <v>3</v>
      </c>
      <c r="S407" s="14">
        <v>1500</v>
      </c>
      <c r="T407" s="11">
        <v>0.1</v>
      </c>
      <c r="U407" s="122">
        <v>207953</v>
      </c>
      <c r="V407" s="35"/>
      <c r="W407" s="99">
        <f t="shared" si="668"/>
        <v>2085</v>
      </c>
      <c r="X407" s="100">
        <f t="shared" si="669"/>
        <v>57.274999999999999</v>
      </c>
      <c r="Y407" s="100">
        <f t="shared" si="670"/>
        <v>16.478100000000001</v>
      </c>
      <c r="Z407" s="22">
        <f t="shared" si="671"/>
        <v>8195</v>
      </c>
      <c r="AA407" s="35">
        <f t="shared" si="672"/>
        <v>0</v>
      </c>
      <c r="AB407" s="22">
        <f t="shared" si="664"/>
        <v>2</v>
      </c>
      <c r="AC407" s="118">
        <f>ROUND(I407+mwreg!$G$42/100,3)</f>
        <v>-0.62</v>
      </c>
      <c r="AD407" s="83">
        <f>ROUND(J407+mwreg!$G$42/100,3)</f>
        <v>1.107</v>
      </c>
      <c r="AE407" s="83">
        <f>ROUND(K407+mwreg!$G$42/100,3)</f>
        <v>0.16700000000000001</v>
      </c>
      <c r="AF407" s="100">
        <f t="shared" si="665"/>
        <v>0.2631</v>
      </c>
      <c r="AG407" s="100">
        <f t="shared" si="666"/>
        <v>4.5499999999999999E-2</v>
      </c>
      <c r="AH407" s="84">
        <f t="shared" si="673"/>
        <v>4.9000000000000002E-2</v>
      </c>
      <c r="AI407" s="82">
        <f t="shared" si="674"/>
        <v>180</v>
      </c>
      <c r="AJ407" s="82">
        <f t="shared" si="675"/>
        <v>60</v>
      </c>
      <c r="AK407" s="83">
        <f t="shared" si="676"/>
        <v>1E-3</v>
      </c>
      <c r="AL407" s="82">
        <f t="shared" si="677"/>
        <v>3</v>
      </c>
      <c r="AM407" s="82">
        <f t="shared" si="678"/>
        <v>1500</v>
      </c>
      <c r="AN407" s="83">
        <f t="shared" si="679"/>
        <v>0.1</v>
      </c>
      <c r="AO407" s="188">
        <f t="shared" si="680"/>
        <v>207953</v>
      </c>
    </row>
    <row r="408" spans="1:41" x14ac:dyDescent="0.2">
      <c r="A408" s="3" t="s">
        <v>296</v>
      </c>
      <c r="B408" s="3" t="s">
        <v>296</v>
      </c>
      <c r="C408" s="55">
        <v>2085</v>
      </c>
      <c r="D408" s="79">
        <v>57.274999999999999</v>
      </c>
      <c r="E408" s="79">
        <v>16.478100000000001</v>
      </c>
      <c r="F408" s="14">
        <v>8195</v>
      </c>
      <c r="G408" s="10">
        <v>0</v>
      </c>
      <c r="H408" s="122">
        <v>3</v>
      </c>
      <c r="I408" s="165">
        <v>-0.82399999999999995</v>
      </c>
      <c r="J408" s="11">
        <v>0.83399999999999996</v>
      </c>
      <c r="K408" s="11">
        <v>1.7000000000000001E-2</v>
      </c>
      <c r="L408" s="79">
        <v>0.2213</v>
      </c>
      <c r="M408" s="79">
        <v>3.9899999999999998E-2</v>
      </c>
      <c r="N408" s="79">
        <v>4.2999999999999997E-2</v>
      </c>
      <c r="O408" s="14">
        <v>180</v>
      </c>
      <c r="P408" s="14">
        <v>60</v>
      </c>
      <c r="Q408" s="11">
        <v>1E-3</v>
      </c>
      <c r="R408" s="14">
        <v>3</v>
      </c>
      <c r="S408" s="14">
        <v>1500</v>
      </c>
      <c r="T408" s="11">
        <v>0.1</v>
      </c>
      <c r="U408" s="122">
        <v>208690</v>
      </c>
      <c r="V408" s="35"/>
      <c r="W408" s="99">
        <f t="shared" si="668"/>
        <v>2085</v>
      </c>
      <c r="X408" s="100">
        <f t="shared" si="669"/>
        <v>57.274999999999999</v>
      </c>
      <c r="Y408" s="100">
        <f t="shared" si="670"/>
        <v>16.478100000000001</v>
      </c>
      <c r="Z408" s="22">
        <f t="shared" si="671"/>
        <v>8195</v>
      </c>
      <c r="AA408" s="35">
        <f t="shared" si="672"/>
        <v>0</v>
      </c>
      <c r="AB408" s="22">
        <f t="shared" si="664"/>
        <v>3</v>
      </c>
      <c r="AC408" s="118">
        <f>ROUND(I408+mwreg!$G$42/100,3)</f>
        <v>-0.70399999999999996</v>
      </c>
      <c r="AD408" s="83">
        <f>ROUND(J408+mwreg!$G$42/100,3)</f>
        <v>0.95399999999999996</v>
      </c>
      <c r="AE408" s="83">
        <f>ROUND(K408+mwreg!$G$42/100,3)</f>
        <v>0.13700000000000001</v>
      </c>
      <c r="AF408" s="100">
        <f t="shared" si="665"/>
        <v>0.2213</v>
      </c>
      <c r="AG408" s="100">
        <f t="shared" si="666"/>
        <v>3.9899999999999998E-2</v>
      </c>
      <c r="AH408" s="84">
        <f t="shared" si="673"/>
        <v>4.2999999999999997E-2</v>
      </c>
      <c r="AI408" s="82">
        <f t="shared" si="674"/>
        <v>180</v>
      </c>
      <c r="AJ408" s="82">
        <f t="shared" si="675"/>
        <v>60</v>
      </c>
      <c r="AK408" s="83">
        <f t="shared" si="676"/>
        <v>1E-3</v>
      </c>
      <c r="AL408" s="82">
        <f t="shared" si="677"/>
        <v>3</v>
      </c>
      <c r="AM408" s="82">
        <f t="shared" si="678"/>
        <v>1500</v>
      </c>
      <c r="AN408" s="83">
        <f t="shared" si="679"/>
        <v>0.1</v>
      </c>
      <c r="AO408" s="188">
        <f t="shared" si="680"/>
        <v>208690</v>
      </c>
    </row>
    <row r="409" spans="1:41" x14ac:dyDescent="0.2">
      <c r="A409" s="3" t="s">
        <v>296</v>
      </c>
      <c r="B409" s="3" t="s">
        <v>296</v>
      </c>
      <c r="C409" s="55">
        <v>2085</v>
      </c>
      <c r="D409" s="79">
        <v>57.274999999999999</v>
      </c>
      <c r="E409" s="79">
        <v>16.478100000000001</v>
      </c>
      <c r="F409" s="14">
        <v>8195</v>
      </c>
      <c r="G409" s="10">
        <v>0</v>
      </c>
      <c r="H409" s="122">
        <v>4</v>
      </c>
      <c r="I409" s="165">
        <v>-0.59199999999999997</v>
      </c>
      <c r="J409" s="11">
        <v>0.61099999999999999</v>
      </c>
      <c r="K409" s="11">
        <v>-7.2999999999999995E-2</v>
      </c>
      <c r="L409" s="79">
        <v>0.15060000000000001</v>
      </c>
      <c r="M409" s="79">
        <v>4.2200000000000001E-2</v>
      </c>
      <c r="N409" s="79">
        <v>4.4999999999999998E-2</v>
      </c>
      <c r="O409" s="14">
        <v>180</v>
      </c>
      <c r="P409" s="14">
        <v>60</v>
      </c>
      <c r="Q409" s="11">
        <v>1E-3</v>
      </c>
      <c r="R409" s="14">
        <v>3</v>
      </c>
      <c r="S409" s="14">
        <v>1500</v>
      </c>
      <c r="T409" s="11">
        <v>0.1</v>
      </c>
      <c r="U409" s="122">
        <v>201524</v>
      </c>
      <c r="V409" s="35"/>
      <c r="W409" s="99">
        <f t="shared" si="668"/>
        <v>2085</v>
      </c>
      <c r="X409" s="100">
        <f t="shared" si="669"/>
        <v>57.274999999999999</v>
      </c>
      <c r="Y409" s="100">
        <f t="shared" si="670"/>
        <v>16.478100000000001</v>
      </c>
      <c r="Z409" s="22">
        <f t="shared" si="671"/>
        <v>8195</v>
      </c>
      <c r="AA409" s="35">
        <f t="shared" si="672"/>
        <v>0</v>
      </c>
      <c r="AB409" s="22">
        <f t="shared" si="664"/>
        <v>4</v>
      </c>
      <c r="AC409" s="118">
        <f>ROUND(I409+mwreg!$G$42/100,3)</f>
        <v>-0.47199999999999998</v>
      </c>
      <c r="AD409" s="83">
        <f>ROUND(J409+mwreg!$G$42/100,3)</f>
        <v>0.73099999999999998</v>
      </c>
      <c r="AE409" s="83">
        <f>ROUND(K409+mwreg!$G$42/100,3)</f>
        <v>4.7E-2</v>
      </c>
      <c r="AF409" s="100">
        <f t="shared" si="665"/>
        <v>0.15060000000000001</v>
      </c>
      <c r="AG409" s="100">
        <f t="shared" si="666"/>
        <v>4.2200000000000001E-2</v>
      </c>
      <c r="AH409" s="84">
        <f t="shared" si="673"/>
        <v>4.4999999999999998E-2</v>
      </c>
      <c r="AI409" s="82">
        <f t="shared" si="674"/>
        <v>180</v>
      </c>
      <c r="AJ409" s="82">
        <f t="shared" si="675"/>
        <v>60</v>
      </c>
      <c r="AK409" s="83">
        <f t="shared" si="676"/>
        <v>1E-3</v>
      </c>
      <c r="AL409" s="82">
        <f t="shared" si="677"/>
        <v>3</v>
      </c>
      <c r="AM409" s="82">
        <f t="shared" si="678"/>
        <v>1500</v>
      </c>
      <c r="AN409" s="83">
        <f t="shared" si="679"/>
        <v>0.1</v>
      </c>
      <c r="AO409" s="188">
        <f t="shared" si="680"/>
        <v>201524</v>
      </c>
    </row>
    <row r="410" spans="1:41" x14ac:dyDescent="0.2">
      <c r="A410" s="3" t="s">
        <v>296</v>
      </c>
      <c r="B410" s="3" t="s">
        <v>296</v>
      </c>
      <c r="C410" s="55">
        <v>2085</v>
      </c>
      <c r="D410" s="79">
        <v>57.274999999999999</v>
      </c>
      <c r="E410" s="79">
        <v>16.478100000000001</v>
      </c>
      <c r="F410" s="14">
        <v>8195</v>
      </c>
      <c r="G410" s="10">
        <v>0</v>
      </c>
      <c r="H410" s="122">
        <v>5</v>
      </c>
      <c r="I410" s="165">
        <v>-0.54200000000000004</v>
      </c>
      <c r="J410" s="11">
        <v>0.32900000000000001</v>
      </c>
      <c r="K410" s="11">
        <v>-5.7000000000000002E-2</v>
      </c>
      <c r="L410" s="79">
        <v>0.1163</v>
      </c>
      <c r="M410" s="79">
        <v>7.9899999999999999E-2</v>
      </c>
      <c r="N410" s="79">
        <v>8.2699999999999996E-2</v>
      </c>
      <c r="O410" s="14">
        <v>180</v>
      </c>
      <c r="P410" s="14">
        <v>60</v>
      </c>
      <c r="Q410" s="11">
        <v>1E-3</v>
      </c>
      <c r="R410" s="14">
        <v>3</v>
      </c>
      <c r="S410" s="14">
        <v>1500</v>
      </c>
      <c r="T410" s="11">
        <v>0.1</v>
      </c>
      <c r="U410" s="122">
        <v>204071</v>
      </c>
      <c r="V410" s="35"/>
      <c r="W410" s="99">
        <f t="shared" si="668"/>
        <v>2085</v>
      </c>
      <c r="X410" s="100">
        <f t="shared" si="669"/>
        <v>57.274999999999999</v>
      </c>
      <c r="Y410" s="100">
        <f t="shared" si="670"/>
        <v>16.478100000000001</v>
      </c>
      <c r="Z410" s="22">
        <f t="shared" si="671"/>
        <v>8195</v>
      </c>
      <c r="AA410" s="35">
        <f t="shared" si="672"/>
        <v>0</v>
      </c>
      <c r="AB410" s="22">
        <f t="shared" si="664"/>
        <v>5</v>
      </c>
      <c r="AC410" s="118">
        <f>ROUND(I410+mwreg!$G$42/100,3)</f>
        <v>-0.42199999999999999</v>
      </c>
      <c r="AD410" s="83">
        <f>ROUND(J410+mwreg!$G$42/100,3)</f>
        <v>0.44900000000000001</v>
      </c>
      <c r="AE410" s="83">
        <f>ROUND(K410+mwreg!$G$42/100,3)</f>
        <v>6.3E-2</v>
      </c>
      <c r="AF410" s="100">
        <f t="shared" si="665"/>
        <v>0.1163</v>
      </c>
      <c r="AG410" s="100">
        <f t="shared" si="666"/>
        <v>7.9899999999999999E-2</v>
      </c>
      <c r="AH410" s="84">
        <f t="shared" si="673"/>
        <v>8.2699999999999996E-2</v>
      </c>
      <c r="AI410" s="82">
        <f t="shared" si="674"/>
        <v>180</v>
      </c>
      <c r="AJ410" s="82">
        <f t="shared" si="675"/>
        <v>60</v>
      </c>
      <c r="AK410" s="83">
        <f t="shared" si="676"/>
        <v>1E-3</v>
      </c>
      <c r="AL410" s="82">
        <f t="shared" si="677"/>
        <v>3</v>
      </c>
      <c r="AM410" s="82">
        <f t="shared" si="678"/>
        <v>1500</v>
      </c>
      <c r="AN410" s="83">
        <f t="shared" si="679"/>
        <v>0.1</v>
      </c>
      <c r="AO410" s="188">
        <f t="shared" si="680"/>
        <v>204071</v>
      </c>
    </row>
    <row r="411" spans="1:41" x14ac:dyDescent="0.2">
      <c r="A411" s="3" t="s">
        <v>296</v>
      </c>
      <c r="B411" s="3" t="s">
        <v>296</v>
      </c>
      <c r="C411" s="55">
        <v>2085</v>
      </c>
      <c r="D411" s="79">
        <v>57.274999999999999</v>
      </c>
      <c r="E411" s="79">
        <v>16.478100000000001</v>
      </c>
      <c r="F411" s="14">
        <v>8195</v>
      </c>
      <c r="G411" s="10">
        <v>0</v>
      </c>
      <c r="H411" s="122">
        <v>6</v>
      </c>
      <c r="I411" s="165">
        <v>-0.40899999999999997</v>
      </c>
      <c r="J411" s="11">
        <v>0.60499999999999998</v>
      </c>
      <c r="K411" s="11">
        <v>-4.1000000000000002E-2</v>
      </c>
      <c r="L411" s="79">
        <v>0.1019</v>
      </c>
      <c r="M411" s="79">
        <v>3.2300000000000002E-2</v>
      </c>
      <c r="N411" s="79">
        <v>3.5000000000000003E-2</v>
      </c>
      <c r="O411" s="14">
        <v>180</v>
      </c>
      <c r="P411" s="14">
        <v>60</v>
      </c>
      <c r="Q411" s="11">
        <v>1E-3</v>
      </c>
      <c r="R411" s="14">
        <v>3</v>
      </c>
      <c r="S411" s="14">
        <v>1500</v>
      </c>
      <c r="T411" s="11">
        <v>0.1</v>
      </c>
      <c r="U411" s="122">
        <v>201222</v>
      </c>
      <c r="V411" s="35"/>
      <c r="W411" s="99">
        <f t="shared" si="668"/>
        <v>2085</v>
      </c>
      <c r="X411" s="100">
        <f t="shared" si="669"/>
        <v>57.274999999999999</v>
      </c>
      <c r="Y411" s="100">
        <f t="shared" si="670"/>
        <v>16.478100000000001</v>
      </c>
      <c r="Z411" s="22">
        <f t="shared" si="671"/>
        <v>8195</v>
      </c>
      <c r="AA411" s="35">
        <f t="shared" si="672"/>
        <v>0</v>
      </c>
      <c r="AB411" s="22">
        <f t="shared" si="664"/>
        <v>6</v>
      </c>
      <c r="AC411" s="118">
        <f>ROUND(I411+mwreg!$G$42/100,3)</f>
        <v>-0.28899999999999998</v>
      </c>
      <c r="AD411" s="83">
        <f>ROUND(J411+mwreg!$G$42/100,3)</f>
        <v>0.72499999999999998</v>
      </c>
      <c r="AE411" s="83">
        <f>ROUND(K411+mwreg!$G$42/100,3)</f>
        <v>7.9000000000000001E-2</v>
      </c>
      <c r="AF411" s="100">
        <f t="shared" si="665"/>
        <v>0.1019</v>
      </c>
      <c r="AG411" s="100">
        <f t="shared" si="666"/>
        <v>3.2300000000000002E-2</v>
      </c>
      <c r="AH411" s="84">
        <f t="shared" si="673"/>
        <v>3.5000000000000003E-2</v>
      </c>
      <c r="AI411" s="82">
        <f t="shared" si="674"/>
        <v>180</v>
      </c>
      <c r="AJ411" s="82">
        <f t="shared" si="675"/>
        <v>60</v>
      </c>
      <c r="AK411" s="83">
        <f t="shared" si="676"/>
        <v>1E-3</v>
      </c>
      <c r="AL411" s="82">
        <f t="shared" si="677"/>
        <v>3</v>
      </c>
      <c r="AM411" s="82">
        <f t="shared" si="678"/>
        <v>1500</v>
      </c>
      <c r="AN411" s="83">
        <f t="shared" si="679"/>
        <v>0.1</v>
      </c>
      <c r="AO411" s="188">
        <f t="shared" si="680"/>
        <v>201222</v>
      </c>
    </row>
    <row r="412" spans="1:41" x14ac:dyDescent="0.2">
      <c r="A412" s="3" t="s">
        <v>296</v>
      </c>
      <c r="B412" s="3" t="s">
        <v>296</v>
      </c>
      <c r="C412" s="55">
        <v>2085</v>
      </c>
      <c r="D412" s="79">
        <v>57.274999999999999</v>
      </c>
      <c r="E412" s="79">
        <v>16.478100000000001</v>
      </c>
      <c r="F412" s="14">
        <v>8195</v>
      </c>
      <c r="G412" s="10">
        <v>0</v>
      </c>
      <c r="H412" s="122">
        <v>7</v>
      </c>
      <c r="I412" s="165">
        <v>-0.33400000000000002</v>
      </c>
      <c r="J412" s="11">
        <v>0.41499999999999998</v>
      </c>
      <c r="K412" s="11">
        <v>6.6000000000000003E-2</v>
      </c>
      <c r="L412" s="79">
        <v>0.1069</v>
      </c>
      <c r="M412" s="79">
        <v>4.1599999999999998E-2</v>
      </c>
      <c r="N412" s="79">
        <v>4.4999999999999998E-2</v>
      </c>
      <c r="O412" s="14">
        <v>180</v>
      </c>
      <c r="P412" s="14">
        <v>60</v>
      </c>
      <c r="Q412" s="11">
        <v>1E-3</v>
      </c>
      <c r="R412" s="14">
        <v>3</v>
      </c>
      <c r="S412" s="14">
        <v>1500</v>
      </c>
      <c r="T412" s="11">
        <v>0.1</v>
      </c>
      <c r="U412" s="122">
        <v>213195</v>
      </c>
      <c r="V412" s="35"/>
      <c r="W412" s="99">
        <f t="shared" si="668"/>
        <v>2085</v>
      </c>
      <c r="X412" s="100">
        <f t="shared" si="669"/>
        <v>57.274999999999999</v>
      </c>
      <c r="Y412" s="100">
        <f t="shared" si="670"/>
        <v>16.478100000000001</v>
      </c>
      <c r="Z412" s="22">
        <f t="shared" si="671"/>
        <v>8195</v>
      </c>
      <c r="AA412" s="35">
        <f t="shared" si="672"/>
        <v>0</v>
      </c>
      <c r="AB412" s="22">
        <f t="shared" si="664"/>
        <v>7</v>
      </c>
      <c r="AC412" s="118">
        <f>ROUND(I412+mwreg!$G$42/100,3)</f>
        <v>-0.214</v>
      </c>
      <c r="AD412" s="83">
        <f>ROUND(J412+mwreg!$G$42/100,3)</f>
        <v>0.53500000000000003</v>
      </c>
      <c r="AE412" s="83">
        <f>ROUND(K412+mwreg!$G$42/100,3)</f>
        <v>0.186</v>
      </c>
      <c r="AF412" s="100">
        <f t="shared" si="665"/>
        <v>0.1069</v>
      </c>
      <c r="AG412" s="100">
        <f t="shared" si="666"/>
        <v>4.1599999999999998E-2</v>
      </c>
      <c r="AH412" s="84">
        <f t="shared" si="673"/>
        <v>4.4999999999999998E-2</v>
      </c>
      <c r="AI412" s="82">
        <f t="shared" si="674"/>
        <v>180</v>
      </c>
      <c r="AJ412" s="82">
        <f t="shared" si="675"/>
        <v>60</v>
      </c>
      <c r="AK412" s="83">
        <f t="shared" si="676"/>
        <v>1E-3</v>
      </c>
      <c r="AL412" s="82">
        <f t="shared" si="677"/>
        <v>3</v>
      </c>
      <c r="AM412" s="82">
        <f t="shared" si="678"/>
        <v>1500</v>
      </c>
      <c r="AN412" s="83">
        <f t="shared" si="679"/>
        <v>0.1</v>
      </c>
      <c r="AO412" s="188">
        <f t="shared" si="680"/>
        <v>213195</v>
      </c>
    </row>
    <row r="413" spans="1:41" x14ac:dyDescent="0.2">
      <c r="A413" s="3" t="s">
        <v>296</v>
      </c>
      <c r="B413" s="3" t="s">
        <v>296</v>
      </c>
      <c r="C413" s="55">
        <v>2085</v>
      </c>
      <c r="D413" s="79">
        <v>57.274999999999999</v>
      </c>
      <c r="E413" s="79">
        <v>16.478100000000001</v>
      </c>
      <c r="F413" s="14">
        <v>8195</v>
      </c>
      <c r="G413" s="10">
        <v>0</v>
      </c>
      <c r="H413" s="122">
        <v>8</v>
      </c>
      <c r="I413" s="165">
        <v>-0.35899999999999999</v>
      </c>
      <c r="J413" s="11">
        <v>0.52500000000000002</v>
      </c>
      <c r="K413" s="11">
        <v>1.0999999999999999E-2</v>
      </c>
      <c r="L413" s="79">
        <v>0.1048</v>
      </c>
      <c r="M413" s="79">
        <v>0.1263</v>
      </c>
      <c r="N413" s="79">
        <v>0.13</v>
      </c>
      <c r="O413" s="14">
        <v>180</v>
      </c>
      <c r="P413" s="14">
        <v>60</v>
      </c>
      <c r="Q413" s="11">
        <v>1E-3</v>
      </c>
      <c r="R413" s="14">
        <v>3</v>
      </c>
      <c r="S413" s="14">
        <v>1500</v>
      </c>
      <c r="T413" s="11">
        <v>0.1</v>
      </c>
      <c r="U413" s="122">
        <v>211670</v>
      </c>
      <c r="V413" s="35"/>
      <c r="W413" s="99">
        <f t="shared" si="668"/>
        <v>2085</v>
      </c>
      <c r="X413" s="100">
        <f t="shared" si="669"/>
        <v>57.274999999999999</v>
      </c>
      <c r="Y413" s="100">
        <f t="shared" si="670"/>
        <v>16.478100000000001</v>
      </c>
      <c r="Z413" s="22">
        <f t="shared" si="671"/>
        <v>8195</v>
      </c>
      <c r="AA413" s="35">
        <f t="shared" si="672"/>
        <v>0</v>
      </c>
      <c r="AB413" s="22">
        <f t="shared" si="664"/>
        <v>8</v>
      </c>
      <c r="AC413" s="118">
        <f>ROUND(I413+mwreg!$G$42/100,3)</f>
        <v>-0.23899999999999999</v>
      </c>
      <c r="AD413" s="83">
        <f>ROUND(J413+mwreg!$G$42/100,3)</f>
        <v>0.64500000000000002</v>
      </c>
      <c r="AE413" s="83">
        <f>ROUND(K413+mwreg!$G$42/100,3)</f>
        <v>0.13100000000000001</v>
      </c>
      <c r="AF413" s="100">
        <f t="shared" si="665"/>
        <v>0.1048</v>
      </c>
      <c r="AG413" s="100">
        <f t="shared" si="666"/>
        <v>0.1263</v>
      </c>
      <c r="AH413" s="84">
        <f t="shared" si="673"/>
        <v>0.13</v>
      </c>
      <c r="AI413" s="82">
        <f t="shared" si="674"/>
        <v>180</v>
      </c>
      <c r="AJ413" s="82">
        <f t="shared" si="675"/>
        <v>60</v>
      </c>
      <c r="AK413" s="83">
        <f t="shared" si="676"/>
        <v>1E-3</v>
      </c>
      <c r="AL413" s="82">
        <f t="shared" si="677"/>
        <v>3</v>
      </c>
      <c r="AM413" s="82">
        <f t="shared" si="678"/>
        <v>1500</v>
      </c>
      <c r="AN413" s="83">
        <f t="shared" si="679"/>
        <v>0.1</v>
      </c>
      <c r="AO413" s="188">
        <f t="shared" si="680"/>
        <v>211670</v>
      </c>
    </row>
    <row r="414" spans="1:41" x14ac:dyDescent="0.2">
      <c r="A414" s="3" t="s">
        <v>296</v>
      </c>
      <c r="B414" s="3" t="s">
        <v>296</v>
      </c>
      <c r="C414" s="55">
        <v>2085</v>
      </c>
      <c r="D414" s="79">
        <v>57.274999999999999</v>
      </c>
      <c r="E414" s="79">
        <v>16.478100000000001</v>
      </c>
      <c r="F414" s="14">
        <v>8195</v>
      </c>
      <c r="G414" s="10">
        <v>0</v>
      </c>
      <c r="H414" s="122">
        <v>9</v>
      </c>
      <c r="I414" s="165">
        <v>-0.53700000000000003</v>
      </c>
      <c r="J414" s="11">
        <v>0.58499999999999996</v>
      </c>
      <c r="K414" s="11">
        <v>6.4000000000000001E-2</v>
      </c>
      <c r="L414" s="79">
        <v>0.1321</v>
      </c>
      <c r="M414" s="79">
        <v>5.1799999999999999E-2</v>
      </c>
      <c r="N414" s="79">
        <v>5.5E-2</v>
      </c>
      <c r="O414" s="14">
        <v>180</v>
      </c>
      <c r="P414" s="14">
        <v>60</v>
      </c>
      <c r="Q414" s="11">
        <v>1E-3</v>
      </c>
      <c r="R414" s="14">
        <v>3</v>
      </c>
      <c r="S414" s="14">
        <v>1500</v>
      </c>
      <c r="T414" s="11">
        <v>0.1</v>
      </c>
      <c r="U414" s="122">
        <v>206101</v>
      </c>
      <c r="V414" s="35"/>
      <c r="W414" s="99">
        <f t="shared" si="668"/>
        <v>2085</v>
      </c>
      <c r="X414" s="100">
        <f t="shared" si="669"/>
        <v>57.274999999999999</v>
      </c>
      <c r="Y414" s="100">
        <f t="shared" si="670"/>
        <v>16.478100000000001</v>
      </c>
      <c r="Z414" s="22">
        <f t="shared" si="671"/>
        <v>8195</v>
      </c>
      <c r="AA414" s="35">
        <f t="shared" si="672"/>
        <v>0</v>
      </c>
      <c r="AB414" s="22">
        <f t="shared" si="664"/>
        <v>9</v>
      </c>
      <c r="AC414" s="118">
        <f>ROUND(I414+mwreg!$G$42/100,3)</f>
        <v>-0.41699999999999998</v>
      </c>
      <c r="AD414" s="83">
        <f>ROUND(J414+mwreg!$G$42/100,3)</f>
        <v>0.70499999999999996</v>
      </c>
      <c r="AE414" s="83">
        <f>ROUND(K414+mwreg!$G$42/100,3)</f>
        <v>0.184</v>
      </c>
      <c r="AF414" s="100">
        <f t="shared" si="665"/>
        <v>0.1321</v>
      </c>
      <c r="AG414" s="100">
        <f t="shared" si="666"/>
        <v>5.1799999999999999E-2</v>
      </c>
      <c r="AH414" s="84">
        <f t="shared" si="673"/>
        <v>5.5E-2</v>
      </c>
      <c r="AI414" s="82">
        <f t="shared" si="674"/>
        <v>180</v>
      </c>
      <c r="AJ414" s="82">
        <f t="shared" si="675"/>
        <v>60</v>
      </c>
      <c r="AK414" s="83">
        <f t="shared" si="676"/>
        <v>1E-3</v>
      </c>
      <c r="AL414" s="82">
        <f t="shared" si="677"/>
        <v>3</v>
      </c>
      <c r="AM414" s="82">
        <f t="shared" si="678"/>
        <v>1500</v>
      </c>
      <c r="AN414" s="83">
        <f t="shared" si="679"/>
        <v>0.1</v>
      </c>
      <c r="AO414" s="188">
        <f t="shared" si="680"/>
        <v>206101</v>
      </c>
    </row>
    <row r="415" spans="1:41" x14ac:dyDescent="0.2">
      <c r="A415" s="3" t="s">
        <v>296</v>
      </c>
      <c r="B415" s="3" t="s">
        <v>296</v>
      </c>
      <c r="C415" s="55">
        <v>2085</v>
      </c>
      <c r="D415" s="79">
        <v>57.274999999999999</v>
      </c>
      <c r="E415" s="79">
        <v>16.478100000000001</v>
      </c>
      <c r="F415" s="14">
        <v>8195</v>
      </c>
      <c r="G415" s="10">
        <v>0</v>
      </c>
      <c r="H415" s="122">
        <v>10</v>
      </c>
      <c r="I415" s="165">
        <v>-0.55000000000000004</v>
      </c>
      <c r="J415" s="11">
        <v>0.84799999999999998</v>
      </c>
      <c r="K415" s="11">
        <v>3.3000000000000002E-2</v>
      </c>
      <c r="L415" s="79">
        <v>0.16200000000000001</v>
      </c>
      <c r="M415" s="79">
        <v>4.1799999999999997E-2</v>
      </c>
      <c r="N415" s="79">
        <v>4.4999999999999998E-2</v>
      </c>
      <c r="O415" s="14">
        <v>180</v>
      </c>
      <c r="P415" s="14">
        <v>60</v>
      </c>
      <c r="Q415" s="11">
        <v>1E-3</v>
      </c>
      <c r="R415" s="14">
        <v>3</v>
      </c>
      <c r="S415" s="14">
        <v>1500</v>
      </c>
      <c r="T415" s="11">
        <v>0.1</v>
      </c>
      <c r="U415" s="122">
        <v>216785</v>
      </c>
      <c r="V415" s="35"/>
      <c r="W415" s="99">
        <f t="shared" si="668"/>
        <v>2085</v>
      </c>
      <c r="X415" s="100">
        <f t="shared" si="669"/>
        <v>57.274999999999999</v>
      </c>
      <c r="Y415" s="100">
        <f t="shared" si="670"/>
        <v>16.478100000000001</v>
      </c>
      <c r="Z415" s="22">
        <f t="shared" si="671"/>
        <v>8195</v>
      </c>
      <c r="AA415" s="35">
        <f t="shared" si="672"/>
        <v>0</v>
      </c>
      <c r="AB415" s="22">
        <f t="shared" si="664"/>
        <v>10</v>
      </c>
      <c r="AC415" s="118">
        <f>ROUND(I415+mwreg!$G$42/100,3)</f>
        <v>-0.43</v>
      </c>
      <c r="AD415" s="83">
        <f>ROUND(J415+mwreg!$G$42/100,3)</f>
        <v>0.96799999999999997</v>
      </c>
      <c r="AE415" s="83">
        <f>ROUND(K415+mwreg!$G$42/100,3)</f>
        <v>0.153</v>
      </c>
      <c r="AF415" s="100">
        <f t="shared" si="665"/>
        <v>0.16200000000000001</v>
      </c>
      <c r="AG415" s="100">
        <f t="shared" si="666"/>
        <v>4.1799999999999997E-2</v>
      </c>
      <c r="AH415" s="84">
        <f t="shared" si="673"/>
        <v>4.4999999999999998E-2</v>
      </c>
      <c r="AI415" s="82">
        <f t="shared" si="674"/>
        <v>180</v>
      </c>
      <c r="AJ415" s="82">
        <f t="shared" si="675"/>
        <v>60</v>
      </c>
      <c r="AK415" s="83">
        <f t="shared" si="676"/>
        <v>1E-3</v>
      </c>
      <c r="AL415" s="82">
        <f t="shared" si="677"/>
        <v>3</v>
      </c>
      <c r="AM415" s="82">
        <f t="shared" si="678"/>
        <v>1500</v>
      </c>
      <c r="AN415" s="83">
        <f t="shared" si="679"/>
        <v>0.1</v>
      </c>
      <c r="AO415" s="188">
        <f t="shared" si="680"/>
        <v>216785</v>
      </c>
    </row>
    <row r="416" spans="1:41" x14ac:dyDescent="0.2">
      <c r="A416" s="3" t="s">
        <v>296</v>
      </c>
      <c r="B416" s="3" t="s">
        <v>296</v>
      </c>
      <c r="C416" s="55">
        <v>2085</v>
      </c>
      <c r="D416" s="79">
        <v>57.274999999999999</v>
      </c>
      <c r="E416" s="79">
        <v>16.478100000000001</v>
      </c>
      <c r="F416" s="14">
        <v>8195</v>
      </c>
      <c r="G416" s="10">
        <v>0</v>
      </c>
      <c r="H416" s="122">
        <v>11</v>
      </c>
      <c r="I416" s="165">
        <v>-0.75700000000000001</v>
      </c>
      <c r="J416" s="11">
        <v>0.98699999999999999</v>
      </c>
      <c r="K416" s="11">
        <v>6.2E-2</v>
      </c>
      <c r="L416" s="79">
        <v>0.19270000000000001</v>
      </c>
      <c r="M416" s="79">
        <v>0.13569999999999999</v>
      </c>
      <c r="N416" s="79">
        <v>0.13900000000000001</v>
      </c>
      <c r="O416" s="14">
        <v>180</v>
      </c>
      <c r="P416" s="14">
        <v>60</v>
      </c>
      <c r="Q416" s="11">
        <v>1E-3</v>
      </c>
      <c r="R416" s="14">
        <v>3</v>
      </c>
      <c r="S416" s="14">
        <v>1500</v>
      </c>
      <c r="T416" s="11">
        <v>0.1</v>
      </c>
      <c r="U416" s="122">
        <v>208505</v>
      </c>
      <c r="V416" s="35"/>
      <c r="W416" s="99">
        <f t="shared" si="668"/>
        <v>2085</v>
      </c>
      <c r="X416" s="100">
        <f t="shared" si="669"/>
        <v>57.274999999999999</v>
      </c>
      <c r="Y416" s="100">
        <f t="shared" si="670"/>
        <v>16.478100000000001</v>
      </c>
      <c r="Z416" s="22">
        <f t="shared" si="671"/>
        <v>8195</v>
      </c>
      <c r="AA416" s="35">
        <f t="shared" si="672"/>
        <v>0</v>
      </c>
      <c r="AB416" s="22">
        <f t="shared" si="664"/>
        <v>11</v>
      </c>
      <c r="AC416" s="118">
        <f>ROUND(I416+mwreg!$G$42/100,3)</f>
        <v>-0.63700000000000001</v>
      </c>
      <c r="AD416" s="83">
        <f>ROUND(J416+mwreg!$G$42/100,3)</f>
        <v>1.107</v>
      </c>
      <c r="AE416" s="83">
        <f>ROUND(K416+mwreg!$G$42/100,3)</f>
        <v>0.182</v>
      </c>
      <c r="AF416" s="100">
        <f t="shared" si="665"/>
        <v>0.19270000000000001</v>
      </c>
      <c r="AG416" s="100">
        <f t="shared" si="666"/>
        <v>0.13569999999999999</v>
      </c>
      <c r="AH416" s="84">
        <f t="shared" si="673"/>
        <v>0.13900000000000001</v>
      </c>
      <c r="AI416" s="82">
        <f t="shared" si="674"/>
        <v>180</v>
      </c>
      <c r="AJ416" s="82">
        <f t="shared" si="675"/>
        <v>60</v>
      </c>
      <c r="AK416" s="83">
        <f t="shared" si="676"/>
        <v>1E-3</v>
      </c>
      <c r="AL416" s="82">
        <f t="shared" si="677"/>
        <v>3</v>
      </c>
      <c r="AM416" s="82">
        <f t="shared" si="678"/>
        <v>1500</v>
      </c>
      <c r="AN416" s="83">
        <f t="shared" si="679"/>
        <v>0.1</v>
      </c>
      <c r="AO416" s="188">
        <f t="shared" si="680"/>
        <v>208505</v>
      </c>
    </row>
    <row r="417" spans="1:41" x14ac:dyDescent="0.2">
      <c r="A417" s="3" t="s">
        <v>296</v>
      </c>
      <c r="B417" s="3" t="s">
        <v>296</v>
      </c>
      <c r="C417" s="55">
        <v>2085</v>
      </c>
      <c r="D417" s="79">
        <v>57.274999999999999</v>
      </c>
      <c r="E417" s="79">
        <v>16.478100000000001</v>
      </c>
      <c r="F417" s="14">
        <v>8195</v>
      </c>
      <c r="G417" s="10">
        <v>0</v>
      </c>
      <c r="H417" s="122">
        <v>12</v>
      </c>
      <c r="I417" s="165">
        <v>-0.60399999999999998</v>
      </c>
      <c r="J417" s="11">
        <v>0.88500000000000001</v>
      </c>
      <c r="K417" s="11">
        <v>9.1999999999999998E-2</v>
      </c>
      <c r="L417" s="79">
        <v>0.19120000000000001</v>
      </c>
      <c r="M417" s="79">
        <v>4.3900000000000002E-2</v>
      </c>
      <c r="N417" s="79">
        <v>4.7E-2</v>
      </c>
      <c r="O417" s="14">
        <v>180</v>
      </c>
      <c r="P417" s="14">
        <v>60</v>
      </c>
      <c r="Q417" s="11">
        <v>1E-3</v>
      </c>
      <c r="R417" s="14">
        <v>3</v>
      </c>
      <c r="S417" s="14">
        <v>1500</v>
      </c>
      <c r="T417" s="11">
        <v>0.1</v>
      </c>
      <c r="U417" s="122">
        <v>202884</v>
      </c>
      <c r="V417" s="35"/>
      <c r="W417" s="99">
        <f t="shared" si="668"/>
        <v>2085</v>
      </c>
      <c r="X417" s="100">
        <f t="shared" si="669"/>
        <v>57.274999999999999</v>
      </c>
      <c r="Y417" s="100">
        <f t="shared" si="670"/>
        <v>16.478100000000001</v>
      </c>
      <c r="Z417" s="22">
        <f t="shared" si="671"/>
        <v>8195</v>
      </c>
      <c r="AA417" s="35">
        <f t="shared" si="672"/>
        <v>0</v>
      </c>
      <c r="AB417" s="22">
        <f t="shared" si="664"/>
        <v>12</v>
      </c>
      <c r="AC417" s="118">
        <f>ROUND(I417+mwreg!$G$42/100,3)</f>
        <v>-0.48399999999999999</v>
      </c>
      <c r="AD417" s="83">
        <f>ROUND(J417+mwreg!$G$42/100,3)</f>
        <v>1.0049999999999999</v>
      </c>
      <c r="AE417" s="83">
        <f>ROUND(K417+mwreg!$G$42/100,3)</f>
        <v>0.21199999999999999</v>
      </c>
      <c r="AF417" s="100">
        <f t="shared" si="665"/>
        <v>0.19120000000000001</v>
      </c>
      <c r="AG417" s="100">
        <f t="shared" si="666"/>
        <v>4.3900000000000002E-2</v>
      </c>
      <c r="AH417" s="84">
        <f t="shared" si="673"/>
        <v>4.7E-2</v>
      </c>
      <c r="AI417" s="82">
        <f t="shared" si="674"/>
        <v>180</v>
      </c>
      <c r="AJ417" s="82">
        <f t="shared" si="675"/>
        <v>60</v>
      </c>
      <c r="AK417" s="83">
        <f t="shared" si="676"/>
        <v>1E-3</v>
      </c>
      <c r="AL417" s="82">
        <f t="shared" si="677"/>
        <v>3</v>
      </c>
      <c r="AM417" s="82">
        <f t="shared" si="678"/>
        <v>1500</v>
      </c>
      <c r="AN417" s="83">
        <f t="shared" si="679"/>
        <v>0.1</v>
      </c>
      <c r="AO417" s="188">
        <f t="shared" si="680"/>
        <v>202884</v>
      </c>
    </row>
    <row r="418" spans="1:41" x14ac:dyDescent="0.2">
      <c r="A418" s="3" t="str">
        <f>stat_uppg!A43</f>
        <v>60/35105</v>
      </c>
      <c r="B418" s="3" t="str">
        <f>stat_uppg!B43</f>
        <v>KALMAR (SJÖV)</v>
      </c>
      <c r="C418" s="52">
        <v>35105</v>
      </c>
      <c r="D418" s="105">
        <v>56.671300000000002</v>
      </c>
      <c r="E418" s="105">
        <v>16.3888</v>
      </c>
      <c r="F418" s="20">
        <v>8195</v>
      </c>
      <c r="G418" s="18">
        <v>0</v>
      </c>
      <c r="H418" s="53">
        <v>1</v>
      </c>
      <c r="I418" s="167">
        <f t="shared" ref="I418:K429" si="681">ROUND(0.558*I406+0.442*I430,3)</f>
        <v>-0.78100000000000003</v>
      </c>
      <c r="J418" s="104">
        <f t="shared" si="681"/>
        <v>1.2270000000000001</v>
      </c>
      <c r="K418" s="104">
        <f t="shared" si="681"/>
        <v>0.10199999999999999</v>
      </c>
      <c r="L418" s="105">
        <f>ROUND(0.558*L406+0.442*L430,4)</f>
        <v>0.25559999999999999</v>
      </c>
      <c r="M418" s="105">
        <f t="shared" ref="M418:N418" si="682">ROUND(0.558*M406+0.442*M430,4)</f>
        <v>4.6300000000000001E-2</v>
      </c>
      <c r="N418" s="105">
        <f t="shared" si="682"/>
        <v>4.9299999999999997E-2</v>
      </c>
      <c r="O418" s="20">
        <f>ROUND(0.558*O406+0.442*O430,0)</f>
        <v>180</v>
      </c>
      <c r="P418" s="20">
        <f>ROUND(0.558*P406+0.442*P430,0)</f>
        <v>60</v>
      </c>
      <c r="Q418" s="104">
        <f>ROUND(0.558*Q406+0.442*Q430,3)</f>
        <v>1E-3</v>
      </c>
      <c r="R418" s="20">
        <f>ROUND(0.558*R406+0.442*R430,0)</f>
        <v>3</v>
      </c>
      <c r="S418" s="20">
        <f>ROUND(0.558*S406+0.442*S430,0)</f>
        <v>1500</v>
      </c>
      <c r="T418" s="104">
        <f>ROUND(0.558*T406+0.442*T430,3)</f>
        <v>0.1</v>
      </c>
      <c r="U418" s="53" t="s">
        <v>282</v>
      </c>
      <c r="V418" s="21"/>
      <c r="W418" s="58">
        <f t="shared" si="668"/>
        <v>35105</v>
      </c>
      <c r="X418" s="102">
        <f t="shared" si="669"/>
        <v>56.671300000000002</v>
      </c>
      <c r="Y418" s="102">
        <f t="shared" si="670"/>
        <v>16.3888</v>
      </c>
      <c r="Z418" s="21">
        <f t="shared" si="671"/>
        <v>8195</v>
      </c>
      <c r="AA418" s="44">
        <f t="shared" si="672"/>
        <v>0</v>
      </c>
      <c r="AB418" s="21">
        <f t="shared" si="664"/>
        <v>1</v>
      </c>
      <c r="AC418" s="119">
        <f>ROUND(I418+mwreg!$G$43/100,3)</f>
        <v>-0.65600000000000003</v>
      </c>
      <c r="AD418" s="108">
        <f>ROUND(J418+mwreg!$G$43/100,3)</f>
        <v>1.3520000000000001</v>
      </c>
      <c r="AE418" s="108">
        <f>ROUND(K418+mwreg!$G$43/100,3)</f>
        <v>0.22700000000000001</v>
      </c>
      <c r="AF418" s="102">
        <f t="shared" si="665"/>
        <v>0.25559999999999999</v>
      </c>
      <c r="AG418" s="102">
        <f t="shared" si="666"/>
        <v>4.6300000000000001E-2</v>
      </c>
      <c r="AH418" s="109">
        <f t="shared" si="673"/>
        <v>4.9299999999999997E-2</v>
      </c>
      <c r="AI418" s="110">
        <f t="shared" si="674"/>
        <v>180</v>
      </c>
      <c r="AJ418" s="110">
        <f t="shared" si="675"/>
        <v>60</v>
      </c>
      <c r="AK418" s="108">
        <f t="shared" si="676"/>
        <v>1E-3</v>
      </c>
      <c r="AL418" s="110">
        <f t="shared" si="677"/>
        <v>3</v>
      </c>
      <c r="AM418" s="110">
        <f t="shared" si="678"/>
        <v>1500</v>
      </c>
      <c r="AN418" s="108">
        <f t="shared" si="679"/>
        <v>0.1</v>
      </c>
      <c r="AO418" s="186" t="str">
        <f t="shared" si="680"/>
        <v>NaN</v>
      </c>
    </row>
    <row r="419" spans="1:41" x14ac:dyDescent="0.2">
      <c r="A419" s="3" t="s">
        <v>296</v>
      </c>
      <c r="B419" s="3" t="s">
        <v>296</v>
      </c>
      <c r="C419" s="52">
        <v>35105</v>
      </c>
      <c r="D419" s="105">
        <v>56.671300000000002</v>
      </c>
      <c r="E419" s="105">
        <v>16.3888</v>
      </c>
      <c r="F419" s="20">
        <v>8195</v>
      </c>
      <c r="G419" s="18">
        <v>0</v>
      </c>
      <c r="H419" s="53">
        <v>2</v>
      </c>
      <c r="I419" s="167">
        <f t="shared" si="681"/>
        <v>-0.81200000000000006</v>
      </c>
      <c r="J419" s="104">
        <f t="shared" si="681"/>
        <v>1.038</v>
      </c>
      <c r="K419" s="104">
        <f t="shared" si="681"/>
        <v>4.9000000000000002E-2</v>
      </c>
      <c r="L419" s="105">
        <f t="shared" ref="L419:N429" si="683">ROUND(0.558*L407+0.442*L431,4)</f>
        <v>0.25669999999999998</v>
      </c>
      <c r="M419" s="105">
        <f t="shared" si="683"/>
        <v>4.1099999999999998E-2</v>
      </c>
      <c r="N419" s="105">
        <f t="shared" si="683"/>
        <v>4.41E-2</v>
      </c>
      <c r="O419" s="20">
        <f t="shared" ref="O419:P419" si="684">ROUND(0.558*O407+0.442*O431,0)</f>
        <v>180</v>
      </c>
      <c r="P419" s="20">
        <f t="shared" si="684"/>
        <v>60</v>
      </c>
      <c r="Q419" s="104">
        <f t="shared" ref="Q419:Q429" si="685">ROUND(0.558*Q407+0.442*Q431,3)</f>
        <v>1E-3</v>
      </c>
      <c r="R419" s="20">
        <f t="shared" ref="R419:S419" si="686">ROUND(0.558*R407+0.442*R431,0)</f>
        <v>3</v>
      </c>
      <c r="S419" s="20">
        <f t="shared" si="686"/>
        <v>1500</v>
      </c>
      <c r="T419" s="104">
        <f t="shared" ref="T419:T429" si="687">ROUND(0.558*T407+0.442*T431,3)</f>
        <v>0.1</v>
      </c>
      <c r="U419" s="53" t="s">
        <v>282</v>
      </c>
      <c r="V419" s="21"/>
      <c r="W419" s="58">
        <f t="shared" si="668"/>
        <v>35105</v>
      </c>
      <c r="X419" s="102">
        <f t="shared" si="669"/>
        <v>56.671300000000002</v>
      </c>
      <c r="Y419" s="102">
        <f t="shared" si="670"/>
        <v>16.3888</v>
      </c>
      <c r="Z419" s="21">
        <f t="shared" si="671"/>
        <v>8195</v>
      </c>
      <c r="AA419" s="44">
        <f t="shared" si="672"/>
        <v>0</v>
      </c>
      <c r="AB419" s="21">
        <f t="shared" si="664"/>
        <v>2</v>
      </c>
      <c r="AC419" s="119">
        <f>ROUND(I419+mwreg!$G$43/100,3)</f>
        <v>-0.68700000000000006</v>
      </c>
      <c r="AD419" s="108">
        <f>ROUND(J419+mwreg!$G$43/100,3)</f>
        <v>1.163</v>
      </c>
      <c r="AE419" s="108">
        <f>ROUND(K419+mwreg!$G$43/100,3)</f>
        <v>0.17399999999999999</v>
      </c>
      <c r="AF419" s="102">
        <f t="shared" si="665"/>
        <v>0.25669999999999998</v>
      </c>
      <c r="AG419" s="102">
        <f t="shared" si="666"/>
        <v>4.1099999999999998E-2</v>
      </c>
      <c r="AH419" s="109">
        <f t="shared" si="673"/>
        <v>4.41E-2</v>
      </c>
      <c r="AI419" s="110">
        <f t="shared" si="674"/>
        <v>180</v>
      </c>
      <c r="AJ419" s="110">
        <f t="shared" si="675"/>
        <v>60</v>
      </c>
      <c r="AK419" s="108">
        <f t="shared" si="676"/>
        <v>1E-3</v>
      </c>
      <c r="AL419" s="110">
        <f t="shared" si="677"/>
        <v>3</v>
      </c>
      <c r="AM419" s="110">
        <f t="shared" si="678"/>
        <v>1500</v>
      </c>
      <c r="AN419" s="108">
        <f t="shared" si="679"/>
        <v>0.1</v>
      </c>
      <c r="AO419" s="186" t="str">
        <f t="shared" si="680"/>
        <v>NaN</v>
      </c>
    </row>
    <row r="420" spans="1:41" x14ac:dyDescent="0.2">
      <c r="A420" s="3" t="s">
        <v>296</v>
      </c>
      <c r="B420" s="3" t="s">
        <v>296</v>
      </c>
      <c r="C420" s="52">
        <v>35105</v>
      </c>
      <c r="D420" s="105">
        <v>56.671300000000002</v>
      </c>
      <c r="E420" s="105">
        <v>16.3888</v>
      </c>
      <c r="F420" s="20">
        <v>8195</v>
      </c>
      <c r="G420" s="18">
        <v>0</v>
      </c>
      <c r="H420" s="53">
        <v>3</v>
      </c>
      <c r="I420" s="167">
        <f t="shared" si="681"/>
        <v>-0.82499999999999996</v>
      </c>
      <c r="J420" s="104">
        <f t="shared" si="681"/>
        <v>0.879</v>
      </c>
      <c r="K420" s="104">
        <f t="shared" si="681"/>
        <v>8.0000000000000002E-3</v>
      </c>
      <c r="L420" s="105">
        <f t="shared" si="683"/>
        <v>0.2238</v>
      </c>
      <c r="M420" s="105">
        <f t="shared" si="683"/>
        <v>3.27E-2</v>
      </c>
      <c r="N420" s="105">
        <f t="shared" si="683"/>
        <v>3.5499999999999997E-2</v>
      </c>
      <c r="O420" s="20">
        <f t="shared" ref="O420:P420" si="688">ROUND(0.558*O408+0.442*O432,0)</f>
        <v>180</v>
      </c>
      <c r="P420" s="20">
        <f t="shared" si="688"/>
        <v>60</v>
      </c>
      <c r="Q420" s="104">
        <f t="shared" si="685"/>
        <v>1E-3</v>
      </c>
      <c r="R420" s="20">
        <f t="shared" ref="R420:S420" si="689">ROUND(0.558*R408+0.442*R432,0)</f>
        <v>3</v>
      </c>
      <c r="S420" s="20">
        <f t="shared" si="689"/>
        <v>1500</v>
      </c>
      <c r="T420" s="104">
        <f t="shared" si="687"/>
        <v>0.1</v>
      </c>
      <c r="U420" s="53" t="s">
        <v>282</v>
      </c>
      <c r="V420" s="21"/>
      <c r="W420" s="58">
        <f t="shared" si="668"/>
        <v>35105</v>
      </c>
      <c r="X420" s="102">
        <f t="shared" si="669"/>
        <v>56.671300000000002</v>
      </c>
      <c r="Y420" s="102">
        <f t="shared" si="670"/>
        <v>16.3888</v>
      </c>
      <c r="Z420" s="21">
        <f t="shared" si="671"/>
        <v>8195</v>
      </c>
      <c r="AA420" s="44">
        <f t="shared" si="672"/>
        <v>0</v>
      </c>
      <c r="AB420" s="21">
        <f t="shared" si="664"/>
        <v>3</v>
      </c>
      <c r="AC420" s="119">
        <f>ROUND(I420+mwreg!$G$43/100,3)</f>
        <v>-0.7</v>
      </c>
      <c r="AD420" s="108">
        <f>ROUND(J420+mwreg!$G$43/100,3)</f>
        <v>1.004</v>
      </c>
      <c r="AE420" s="108">
        <f>ROUND(K420+mwreg!$G$43/100,3)</f>
        <v>0.13300000000000001</v>
      </c>
      <c r="AF420" s="102">
        <f t="shared" si="665"/>
        <v>0.2238</v>
      </c>
      <c r="AG420" s="102">
        <f t="shared" si="666"/>
        <v>3.27E-2</v>
      </c>
      <c r="AH420" s="109">
        <f t="shared" si="673"/>
        <v>3.5499999999999997E-2</v>
      </c>
      <c r="AI420" s="110">
        <f t="shared" si="674"/>
        <v>180</v>
      </c>
      <c r="AJ420" s="110">
        <f t="shared" si="675"/>
        <v>60</v>
      </c>
      <c r="AK420" s="108">
        <f t="shared" si="676"/>
        <v>1E-3</v>
      </c>
      <c r="AL420" s="110">
        <f t="shared" si="677"/>
        <v>3</v>
      </c>
      <c r="AM420" s="110">
        <f t="shared" si="678"/>
        <v>1500</v>
      </c>
      <c r="AN420" s="108">
        <f t="shared" si="679"/>
        <v>0.1</v>
      </c>
      <c r="AO420" s="186" t="str">
        <f t="shared" si="680"/>
        <v>NaN</v>
      </c>
    </row>
    <row r="421" spans="1:41" x14ac:dyDescent="0.2">
      <c r="A421" s="3" t="s">
        <v>296</v>
      </c>
      <c r="B421" s="3" t="s">
        <v>296</v>
      </c>
      <c r="C421" s="52">
        <v>35105</v>
      </c>
      <c r="D421" s="105">
        <v>56.671300000000002</v>
      </c>
      <c r="E421" s="105">
        <v>16.3888</v>
      </c>
      <c r="F421" s="20">
        <v>8195</v>
      </c>
      <c r="G421" s="18">
        <v>0</v>
      </c>
      <c r="H421" s="53">
        <v>4</v>
      </c>
      <c r="I421" s="167">
        <f t="shared" si="681"/>
        <v>-0.629</v>
      </c>
      <c r="J421" s="104">
        <f t="shared" si="681"/>
        <v>0.72399999999999998</v>
      </c>
      <c r="K421" s="104">
        <f t="shared" si="681"/>
        <v>-6.6000000000000003E-2</v>
      </c>
      <c r="L421" s="105">
        <f t="shared" si="683"/>
        <v>0.15310000000000001</v>
      </c>
      <c r="M421" s="105">
        <f t="shared" si="683"/>
        <v>4.2500000000000003E-2</v>
      </c>
      <c r="N421" s="105">
        <f t="shared" si="683"/>
        <v>4.4999999999999998E-2</v>
      </c>
      <c r="O421" s="20">
        <f t="shared" ref="O421:P421" si="690">ROUND(0.558*O409+0.442*O433,0)</f>
        <v>180</v>
      </c>
      <c r="P421" s="20">
        <f t="shared" si="690"/>
        <v>60</v>
      </c>
      <c r="Q421" s="104">
        <f t="shared" si="685"/>
        <v>1E-3</v>
      </c>
      <c r="R421" s="20">
        <f t="shared" ref="R421:S421" si="691">ROUND(0.558*R409+0.442*R433,0)</f>
        <v>3</v>
      </c>
      <c r="S421" s="20">
        <f t="shared" si="691"/>
        <v>1500</v>
      </c>
      <c r="T421" s="104">
        <f t="shared" si="687"/>
        <v>0.1</v>
      </c>
      <c r="U421" s="53" t="s">
        <v>282</v>
      </c>
      <c r="V421" s="21"/>
      <c r="W421" s="58">
        <f t="shared" si="668"/>
        <v>35105</v>
      </c>
      <c r="X421" s="102">
        <f t="shared" si="669"/>
        <v>56.671300000000002</v>
      </c>
      <c r="Y421" s="102">
        <f t="shared" si="670"/>
        <v>16.3888</v>
      </c>
      <c r="Z421" s="21">
        <f t="shared" si="671"/>
        <v>8195</v>
      </c>
      <c r="AA421" s="44">
        <f t="shared" si="672"/>
        <v>0</v>
      </c>
      <c r="AB421" s="21">
        <f t="shared" si="664"/>
        <v>4</v>
      </c>
      <c r="AC421" s="119">
        <f>ROUND(I421+mwreg!$G$43/100,3)</f>
        <v>-0.504</v>
      </c>
      <c r="AD421" s="108">
        <f>ROUND(J421+mwreg!$G$43/100,3)</f>
        <v>0.84899999999999998</v>
      </c>
      <c r="AE421" s="108">
        <f>ROUND(K421+mwreg!$G$43/100,3)</f>
        <v>5.8999999999999997E-2</v>
      </c>
      <c r="AF421" s="102">
        <f t="shared" si="665"/>
        <v>0.15310000000000001</v>
      </c>
      <c r="AG421" s="102">
        <f t="shared" si="666"/>
        <v>4.2500000000000003E-2</v>
      </c>
      <c r="AH421" s="109">
        <f t="shared" si="673"/>
        <v>4.4999999999999998E-2</v>
      </c>
      <c r="AI421" s="110">
        <f t="shared" si="674"/>
        <v>180</v>
      </c>
      <c r="AJ421" s="110">
        <f t="shared" si="675"/>
        <v>60</v>
      </c>
      <c r="AK421" s="108">
        <f t="shared" si="676"/>
        <v>1E-3</v>
      </c>
      <c r="AL421" s="110">
        <f t="shared" si="677"/>
        <v>3</v>
      </c>
      <c r="AM421" s="110">
        <f t="shared" si="678"/>
        <v>1500</v>
      </c>
      <c r="AN421" s="108">
        <f t="shared" si="679"/>
        <v>0.1</v>
      </c>
      <c r="AO421" s="186" t="str">
        <f t="shared" si="680"/>
        <v>NaN</v>
      </c>
    </row>
    <row r="422" spans="1:41" x14ac:dyDescent="0.2">
      <c r="A422" s="3" t="s">
        <v>296</v>
      </c>
      <c r="B422" s="3" t="s">
        <v>296</v>
      </c>
      <c r="C422" s="52">
        <v>35105</v>
      </c>
      <c r="D422" s="105">
        <v>56.671300000000002</v>
      </c>
      <c r="E422" s="105">
        <v>16.3888</v>
      </c>
      <c r="F422" s="20">
        <v>8195</v>
      </c>
      <c r="G422" s="18">
        <v>0</v>
      </c>
      <c r="H422" s="53">
        <v>5</v>
      </c>
      <c r="I422" s="167">
        <f t="shared" si="681"/>
        <v>-0.55100000000000005</v>
      </c>
      <c r="J422" s="104">
        <f t="shared" si="681"/>
        <v>0.35499999999999998</v>
      </c>
      <c r="K422" s="104">
        <f t="shared" si="681"/>
        <v>-5.3999999999999999E-2</v>
      </c>
      <c r="L422" s="105">
        <f t="shared" si="683"/>
        <v>0.1197</v>
      </c>
      <c r="M422" s="105">
        <f t="shared" si="683"/>
        <v>6.2600000000000003E-2</v>
      </c>
      <c r="N422" s="105">
        <f t="shared" si="683"/>
        <v>6.5199999999999994E-2</v>
      </c>
      <c r="O422" s="20">
        <f t="shared" ref="O422:P422" si="692">ROUND(0.558*O410+0.442*O434,0)</f>
        <v>180</v>
      </c>
      <c r="P422" s="20">
        <f t="shared" si="692"/>
        <v>60</v>
      </c>
      <c r="Q422" s="104">
        <f t="shared" si="685"/>
        <v>1E-3</v>
      </c>
      <c r="R422" s="20">
        <f t="shared" ref="R422:S422" si="693">ROUND(0.558*R410+0.442*R434,0)</f>
        <v>3</v>
      </c>
      <c r="S422" s="20">
        <f t="shared" si="693"/>
        <v>1500</v>
      </c>
      <c r="T422" s="104">
        <f t="shared" si="687"/>
        <v>0.1</v>
      </c>
      <c r="U422" s="53" t="s">
        <v>282</v>
      </c>
      <c r="V422" s="21"/>
      <c r="W422" s="58">
        <f t="shared" si="668"/>
        <v>35105</v>
      </c>
      <c r="X422" s="102">
        <f t="shared" si="669"/>
        <v>56.671300000000002</v>
      </c>
      <c r="Y422" s="102">
        <f t="shared" si="670"/>
        <v>16.3888</v>
      </c>
      <c r="Z422" s="21">
        <f t="shared" si="671"/>
        <v>8195</v>
      </c>
      <c r="AA422" s="44">
        <f t="shared" si="672"/>
        <v>0</v>
      </c>
      <c r="AB422" s="21">
        <f t="shared" si="664"/>
        <v>5</v>
      </c>
      <c r="AC422" s="119">
        <f>ROUND(I422+mwreg!$G$43/100,3)</f>
        <v>-0.42599999999999999</v>
      </c>
      <c r="AD422" s="108">
        <f>ROUND(J422+mwreg!$G$43/100,3)</f>
        <v>0.48</v>
      </c>
      <c r="AE422" s="108">
        <f>ROUND(K422+mwreg!$G$43/100,3)</f>
        <v>7.0999999999999994E-2</v>
      </c>
      <c r="AF422" s="102">
        <f t="shared" si="665"/>
        <v>0.1197</v>
      </c>
      <c r="AG422" s="102">
        <f t="shared" si="666"/>
        <v>6.2600000000000003E-2</v>
      </c>
      <c r="AH422" s="109">
        <f t="shared" si="673"/>
        <v>6.5199999999999994E-2</v>
      </c>
      <c r="AI422" s="110">
        <f t="shared" si="674"/>
        <v>180</v>
      </c>
      <c r="AJ422" s="110">
        <f t="shared" si="675"/>
        <v>60</v>
      </c>
      <c r="AK422" s="108">
        <f t="shared" si="676"/>
        <v>1E-3</v>
      </c>
      <c r="AL422" s="110">
        <f t="shared" si="677"/>
        <v>3</v>
      </c>
      <c r="AM422" s="110">
        <f t="shared" si="678"/>
        <v>1500</v>
      </c>
      <c r="AN422" s="108">
        <f t="shared" si="679"/>
        <v>0.1</v>
      </c>
      <c r="AO422" s="186" t="str">
        <f t="shared" si="680"/>
        <v>NaN</v>
      </c>
    </row>
    <row r="423" spans="1:41" x14ac:dyDescent="0.2">
      <c r="A423" s="3" t="s">
        <v>296</v>
      </c>
      <c r="B423" s="3" t="s">
        <v>296</v>
      </c>
      <c r="C423" s="52">
        <v>35105</v>
      </c>
      <c r="D423" s="105">
        <v>56.671300000000002</v>
      </c>
      <c r="E423" s="105">
        <v>16.3888</v>
      </c>
      <c r="F423" s="20">
        <v>8195</v>
      </c>
      <c r="G423" s="18">
        <v>0</v>
      </c>
      <c r="H423" s="53">
        <v>6</v>
      </c>
      <c r="I423" s="167">
        <f t="shared" si="681"/>
        <v>-0.45100000000000001</v>
      </c>
      <c r="J423" s="104">
        <f t="shared" si="681"/>
        <v>0.52800000000000002</v>
      </c>
      <c r="K423" s="104">
        <f t="shared" si="681"/>
        <v>-3.2000000000000001E-2</v>
      </c>
      <c r="L423" s="105">
        <f t="shared" si="683"/>
        <v>0.10440000000000001</v>
      </c>
      <c r="M423" s="105">
        <f t="shared" si="683"/>
        <v>3.9199999999999999E-2</v>
      </c>
      <c r="N423" s="105">
        <f t="shared" si="683"/>
        <v>4.1599999999999998E-2</v>
      </c>
      <c r="O423" s="20">
        <f t="shared" ref="O423:P423" si="694">ROUND(0.558*O411+0.442*O435,0)</f>
        <v>180</v>
      </c>
      <c r="P423" s="20">
        <f t="shared" si="694"/>
        <v>60</v>
      </c>
      <c r="Q423" s="104">
        <f t="shared" si="685"/>
        <v>1E-3</v>
      </c>
      <c r="R423" s="20">
        <f t="shared" ref="R423:S423" si="695">ROUND(0.558*R411+0.442*R435,0)</f>
        <v>3</v>
      </c>
      <c r="S423" s="20">
        <f t="shared" si="695"/>
        <v>1500</v>
      </c>
      <c r="T423" s="104">
        <f t="shared" si="687"/>
        <v>0.1</v>
      </c>
      <c r="U423" s="53" t="s">
        <v>282</v>
      </c>
      <c r="V423" s="21"/>
      <c r="W423" s="58">
        <f t="shared" si="668"/>
        <v>35105</v>
      </c>
      <c r="X423" s="102">
        <f t="shared" si="669"/>
        <v>56.671300000000002</v>
      </c>
      <c r="Y423" s="102">
        <f t="shared" si="670"/>
        <v>16.3888</v>
      </c>
      <c r="Z423" s="21">
        <f t="shared" si="671"/>
        <v>8195</v>
      </c>
      <c r="AA423" s="44">
        <f t="shared" si="672"/>
        <v>0</v>
      </c>
      <c r="AB423" s="21">
        <f t="shared" si="664"/>
        <v>6</v>
      </c>
      <c r="AC423" s="119">
        <f>ROUND(I423+mwreg!$G$43/100,3)</f>
        <v>-0.32600000000000001</v>
      </c>
      <c r="AD423" s="108">
        <f>ROUND(J423+mwreg!$G$43/100,3)</f>
        <v>0.65300000000000002</v>
      </c>
      <c r="AE423" s="108">
        <f>ROUND(K423+mwreg!$G$43/100,3)</f>
        <v>9.2999999999999999E-2</v>
      </c>
      <c r="AF423" s="102">
        <f t="shared" si="665"/>
        <v>0.10440000000000001</v>
      </c>
      <c r="AG423" s="102">
        <f t="shared" si="666"/>
        <v>3.9199999999999999E-2</v>
      </c>
      <c r="AH423" s="109">
        <f t="shared" si="673"/>
        <v>4.1599999999999998E-2</v>
      </c>
      <c r="AI423" s="110">
        <f t="shared" si="674"/>
        <v>180</v>
      </c>
      <c r="AJ423" s="110">
        <f t="shared" si="675"/>
        <v>60</v>
      </c>
      <c r="AK423" s="108">
        <f t="shared" si="676"/>
        <v>1E-3</v>
      </c>
      <c r="AL423" s="110">
        <f t="shared" si="677"/>
        <v>3</v>
      </c>
      <c r="AM423" s="110">
        <f t="shared" si="678"/>
        <v>1500</v>
      </c>
      <c r="AN423" s="108">
        <f t="shared" si="679"/>
        <v>0.1</v>
      </c>
      <c r="AO423" s="186" t="str">
        <f t="shared" si="680"/>
        <v>NaN</v>
      </c>
    </row>
    <row r="424" spans="1:41" x14ac:dyDescent="0.2">
      <c r="A424" s="3" t="s">
        <v>296</v>
      </c>
      <c r="B424" s="3" t="s">
        <v>296</v>
      </c>
      <c r="C424" s="52">
        <v>35105</v>
      </c>
      <c r="D424" s="105">
        <v>56.671300000000002</v>
      </c>
      <c r="E424" s="105">
        <v>16.3888</v>
      </c>
      <c r="F424" s="20">
        <v>8195</v>
      </c>
      <c r="G424" s="18">
        <v>0</v>
      </c>
      <c r="H424" s="53">
        <v>7</v>
      </c>
      <c r="I424" s="167">
        <f t="shared" si="681"/>
        <v>-0.4</v>
      </c>
      <c r="J424" s="104">
        <f t="shared" si="681"/>
        <v>0.442</v>
      </c>
      <c r="K424" s="104">
        <f t="shared" si="681"/>
        <v>6.8000000000000005E-2</v>
      </c>
      <c r="L424" s="105">
        <f t="shared" si="683"/>
        <v>0.1082</v>
      </c>
      <c r="M424" s="105">
        <f t="shared" si="683"/>
        <v>5.3199999999999997E-2</v>
      </c>
      <c r="N424" s="105">
        <f t="shared" si="683"/>
        <v>5.6099999999999997E-2</v>
      </c>
      <c r="O424" s="20">
        <f t="shared" ref="O424:P424" si="696">ROUND(0.558*O412+0.442*O436,0)</f>
        <v>180</v>
      </c>
      <c r="P424" s="20">
        <f t="shared" si="696"/>
        <v>60</v>
      </c>
      <c r="Q424" s="104">
        <f t="shared" si="685"/>
        <v>1E-3</v>
      </c>
      <c r="R424" s="20">
        <f t="shared" ref="R424:S424" si="697">ROUND(0.558*R412+0.442*R436,0)</f>
        <v>3</v>
      </c>
      <c r="S424" s="20">
        <f t="shared" si="697"/>
        <v>1500</v>
      </c>
      <c r="T424" s="104">
        <f t="shared" si="687"/>
        <v>0.1</v>
      </c>
      <c r="U424" s="53" t="s">
        <v>282</v>
      </c>
      <c r="V424" s="21"/>
      <c r="W424" s="58">
        <f t="shared" si="668"/>
        <v>35105</v>
      </c>
      <c r="X424" s="102">
        <f t="shared" si="669"/>
        <v>56.671300000000002</v>
      </c>
      <c r="Y424" s="102">
        <f t="shared" si="670"/>
        <v>16.3888</v>
      </c>
      <c r="Z424" s="21">
        <f t="shared" si="671"/>
        <v>8195</v>
      </c>
      <c r="AA424" s="44">
        <f t="shared" si="672"/>
        <v>0</v>
      </c>
      <c r="AB424" s="21">
        <f t="shared" si="664"/>
        <v>7</v>
      </c>
      <c r="AC424" s="119">
        <f>ROUND(I424+mwreg!$G$43/100,3)</f>
        <v>-0.27500000000000002</v>
      </c>
      <c r="AD424" s="108">
        <f>ROUND(J424+mwreg!$G$43/100,3)</f>
        <v>0.56699999999999995</v>
      </c>
      <c r="AE424" s="108">
        <f>ROUND(K424+mwreg!$G$43/100,3)</f>
        <v>0.193</v>
      </c>
      <c r="AF424" s="102">
        <f t="shared" si="665"/>
        <v>0.1082</v>
      </c>
      <c r="AG424" s="102">
        <f t="shared" si="666"/>
        <v>5.3199999999999997E-2</v>
      </c>
      <c r="AH424" s="109">
        <f t="shared" si="673"/>
        <v>5.6099999999999997E-2</v>
      </c>
      <c r="AI424" s="110">
        <f t="shared" si="674"/>
        <v>180</v>
      </c>
      <c r="AJ424" s="110">
        <f t="shared" si="675"/>
        <v>60</v>
      </c>
      <c r="AK424" s="108">
        <f t="shared" si="676"/>
        <v>1E-3</v>
      </c>
      <c r="AL424" s="110">
        <f t="shared" si="677"/>
        <v>3</v>
      </c>
      <c r="AM424" s="110">
        <f t="shared" si="678"/>
        <v>1500</v>
      </c>
      <c r="AN424" s="108">
        <f t="shared" si="679"/>
        <v>0.1</v>
      </c>
      <c r="AO424" s="186" t="str">
        <f t="shared" si="680"/>
        <v>NaN</v>
      </c>
    </row>
    <row r="425" spans="1:41" x14ac:dyDescent="0.2">
      <c r="A425" s="3" t="s">
        <v>296</v>
      </c>
      <c r="B425" s="3" t="s">
        <v>296</v>
      </c>
      <c r="C425" s="52">
        <v>35105</v>
      </c>
      <c r="D425" s="105">
        <v>56.671300000000002</v>
      </c>
      <c r="E425" s="105">
        <v>16.3888</v>
      </c>
      <c r="F425" s="20">
        <v>8195</v>
      </c>
      <c r="G425" s="18">
        <v>0</v>
      </c>
      <c r="H425" s="53">
        <v>8</v>
      </c>
      <c r="I425" s="167">
        <f t="shared" si="681"/>
        <v>-0.42499999999999999</v>
      </c>
      <c r="J425" s="104">
        <f t="shared" si="681"/>
        <v>0.52500000000000002</v>
      </c>
      <c r="K425" s="104">
        <f t="shared" si="681"/>
        <v>2.4E-2</v>
      </c>
      <c r="L425" s="105">
        <f t="shared" si="683"/>
        <v>0.1081</v>
      </c>
      <c r="M425" s="105">
        <f t="shared" si="683"/>
        <v>9.2499999999999999E-2</v>
      </c>
      <c r="N425" s="105">
        <f t="shared" si="683"/>
        <v>9.5500000000000002E-2</v>
      </c>
      <c r="O425" s="20">
        <f t="shared" ref="O425:P425" si="698">ROUND(0.558*O413+0.442*O437,0)</f>
        <v>180</v>
      </c>
      <c r="P425" s="20">
        <f t="shared" si="698"/>
        <v>60</v>
      </c>
      <c r="Q425" s="104">
        <f t="shared" si="685"/>
        <v>1E-3</v>
      </c>
      <c r="R425" s="20">
        <f t="shared" ref="R425:S425" si="699">ROUND(0.558*R413+0.442*R437,0)</f>
        <v>3</v>
      </c>
      <c r="S425" s="20">
        <f t="shared" si="699"/>
        <v>1500</v>
      </c>
      <c r="T425" s="104">
        <f t="shared" si="687"/>
        <v>0.1</v>
      </c>
      <c r="U425" s="53" t="s">
        <v>282</v>
      </c>
      <c r="V425" s="21"/>
      <c r="W425" s="58">
        <f t="shared" si="668"/>
        <v>35105</v>
      </c>
      <c r="X425" s="102">
        <f t="shared" si="669"/>
        <v>56.671300000000002</v>
      </c>
      <c r="Y425" s="102">
        <f t="shared" si="670"/>
        <v>16.3888</v>
      </c>
      <c r="Z425" s="21">
        <f t="shared" si="671"/>
        <v>8195</v>
      </c>
      <c r="AA425" s="44">
        <f t="shared" si="672"/>
        <v>0</v>
      </c>
      <c r="AB425" s="21">
        <f t="shared" si="664"/>
        <v>8</v>
      </c>
      <c r="AC425" s="119">
        <f>ROUND(I425+mwreg!$G$43/100,3)</f>
        <v>-0.3</v>
      </c>
      <c r="AD425" s="108">
        <f>ROUND(J425+mwreg!$G$43/100,3)</f>
        <v>0.65</v>
      </c>
      <c r="AE425" s="108">
        <f>ROUND(K425+mwreg!$G$43/100,3)</f>
        <v>0.14899999999999999</v>
      </c>
      <c r="AF425" s="102">
        <f t="shared" si="665"/>
        <v>0.1081</v>
      </c>
      <c r="AG425" s="102">
        <f t="shared" si="666"/>
        <v>9.2499999999999999E-2</v>
      </c>
      <c r="AH425" s="109">
        <f t="shared" si="673"/>
        <v>9.5500000000000002E-2</v>
      </c>
      <c r="AI425" s="110">
        <f t="shared" si="674"/>
        <v>180</v>
      </c>
      <c r="AJ425" s="110">
        <f t="shared" si="675"/>
        <v>60</v>
      </c>
      <c r="AK425" s="108">
        <f t="shared" si="676"/>
        <v>1E-3</v>
      </c>
      <c r="AL425" s="110">
        <f t="shared" si="677"/>
        <v>3</v>
      </c>
      <c r="AM425" s="110">
        <f t="shared" si="678"/>
        <v>1500</v>
      </c>
      <c r="AN425" s="108">
        <f t="shared" si="679"/>
        <v>0.1</v>
      </c>
      <c r="AO425" s="186" t="str">
        <f t="shared" si="680"/>
        <v>NaN</v>
      </c>
    </row>
    <row r="426" spans="1:41" x14ac:dyDescent="0.2">
      <c r="A426" s="3" t="s">
        <v>296</v>
      </c>
      <c r="B426" s="3" t="s">
        <v>296</v>
      </c>
      <c r="C426" s="52">
        <v>35105</v>
      </c>
      <c r="D426" s="105">
        <v>56.671300000000002</v>
      </c>
      <c r="E426" s="105">
        <v>16.3888</v>
      </c>
      <c r="F426" s="20">
        <v>8195</v>
      </c>
      <c r="G426" s="18">
        <v>0</v>
      </c>
      <c r="H426" s="53">
        <v>9</v>
      </c>
      <c r="I426" s="167">
        <f t="shared" si="681"/>
        <v>-0.61899999999999999</v>
      </c>
      <c r="J426" s="104">
        <f t="shared" si="681"/>
        <v>0.72599999999999998</v>
      </c>
      <c r="K426" s="104">
        <f t="shared" si="681"/>
        <v>6.8000000000000005E-2</v>
      </c>
      <c r="L426" s="105">
        <f t="shared" si="683"/>
        <v>0.1389</v>
      </c>
      <c r="M426" s="105">
        <f t="shared" si="683"/>
        <v>4.8300000000000003E-2</v>
      </c>
      <c r="N426" s="105">
        <f t="shared" si="683"/>
        <v>5.0999999999999997E-2</v>
      </c>
      <c r="O426" s="20">
        <f t="shared" ref="O426:P426" si="700">ROUND(0.558*O414+0.442*O438,0)</f>
        <v>180</v>
      </c>
      <c r="P426" s="20">
        <f t="shared" si="700"/>
        <v>60</v>
      </c>
      <c r="Q426" s="104">
        <f t="shared" si="685"/>
        <v>1E-3</v>
      </c>
      <c r="R426" s="20">
        <f t="shared" ref="R426:S426" si="701">ROUND(0.558*R414+0.442*R438,0)</f>
        <v>3</v>
      </c>
      <c r="S426" s="20">
        <f t="shared" si="701"/>
        <v>1500</v>
      </c>
      <c r="T426" s="104">
        <f t="shared" si="687"/>
        <v>0.1</v>
      </c>
      <c r="U426" s="53" t="s">
        <v>282</v>
      </c>
      <c r="V426" s="21"/>
      <c r="W426" s="58">
        <f t="shared" si="668"/>
        <v>35105</v>
      </c>
      <c r="X426" s="102">
        <f t="shared" si="669"/>
        <v>56.671300000000002</v>
      </c>
      <c r="Y426" s="102">
        <f t="shared" si="670"/>
        <v>16.3888</v>
      </c>
      <c r="Z426" s="21">
        <f t="shared" si="671"/>
        <v>8195</v>
      </c>
      <c r="AA426" s="44">
        <f t="shared" si="672"/>
        <v>0</v>
      </c>
      <c r="AB426" s="21">
        <f t="shared" si="664"/>
        <v>9</v>
      </c>
      <c r="AC426" s="119">
        <f>ROUND(I426+mwreg!$G$43/100,3)</f>
        <v>-0.49399999999999999</v>
      </c>
      <c r="AD426" s="108">
        <f>ROUND(J426+mwreg!$G$43/100,3)</f>
        <v>0.85099999999999998</v>
      </c>
      <c r="AE426" s="108">
        <f>ROUND(K426+mwreg!$G$43/100,3)</f>
        <v>0.193</v>
      </c>
      <c r="AF426" s="102">
        <f t="shared" si="665"/>
        <v>0.1389</v>
      </c>
      <c r="AG426" s="102">
        <f t="shared" si="666"/>
        <v>4.8300000000000003E-2</v>
      </c>
      <c r="AH426" s="109">
        <f t="shared" si="673"/>
        <v>5.0999999999999997E-2</v>
      </c>
      <c r="AI426" s="110">
        <f t="shared" si="674"/>
        <v>180</v>
      </c>
      <c r="AJ426" s="110">
        <f t="shared" si="675"/>
        <v>60</v>
      </c>
      <c r="AK426" s="108">
        <f t="shared" si="676"/>
        <v>1E-3</v>
      </c>
      <c r="AL426" s="110">
        <f t="shared" si="677"/>
        <v>3</v>
      </c>
      <c r="AM426" s="110">
        <f t="shared" si="678"/>
        <v>1500</v>
      </c>
      <c r="AN426" s="108">
        <f t="shared" si="679"/>
        <v>0.1</v>
      </c>
      <c r="AO426" s="186" t="str">
        <f t="shared" si="680"/>
        <v>NaN</v>
      </c>
    </row>
    <row r="427" spans="1:41" x14ac:dyDescent="0.2">
      <c r="A427" s="3" t="s">
        <v>296</v>
      </c>
      <c r="B427" s="3" t="s">
        <v>296</v>
      </c>
      <c r="C427" s="52">
        <v>35105</v>
      </c>
      <c r="D427" s="105">
        <v>56.671300000000002</v>
      </c>
      <c r="E427" s="105">
        <v>16.3888</v>
      </c>
      <c r="F427" s="20">
        <v>8195</v>
      </c>
      <c r="G427" s="18">
        <v>0</v>
      </c>
      <c r="H427" s="53">
        <v>10</v>
      </c>
      <c r="I427" s="167">
        <f t="shared" si="681"/>
        <v>-0.66500000000000004</v>
      </c>
      <c r="J427" s="104">
        <f t="shared" si="681"/>
        <v>0.90800000000000003</v>
      </c>
      <c r="K427" s="104">
        <f t="shared" si="681"/>
        <v>4.1000000000000002E-2</v>
      </c>
      <c r="L427" s="105">
        <f t="shared" si="683"/>
        <v>0.1691</v>
      </c>
      <c r="M427" s="105">
        <f t="shared" si="683"/>
        <v>4.65E-2</v>
      </c>
      <c r="N427" s="105">
        <f t="shared" si="683"/>
        <v>4.9399999999999999E-2</v>
      </c>
      <c r="O427" s="20">
        <f t="shared" ref="O427:P427" si="702">ROUND(0.558*O415+0.442*O439,0)</f>
        <v>180</v>
      </c>
      <c r="P427" s="20">
        <f t="shared" si="702"/>
        <v>60</v>
      </c>
      <c r="Q427" s="104">
        <f t="shared" si="685"/>
        <v>1E-3</v>
      </c>
      <c r="R427" s="20">
        <f t="shared" ref="R427:S427" si="703">ROUND(0.558*R415+0.442*R439,0)</f>
        <v>3</v>
      </c>
      <c r="S427" s="20">
        <f t="shared" si="703"/>
        <v>1500</v>
      </c>
      <c r="T427" s="104">
        <f t="shared" si="687"/>
        <v>0.1</v>
      </c>
      <c r="U427" s="53" t="s">
        <v>282</v>
      </c>
      <c r="V427" s="21"/>
      <c r="W427" s="58">
        <f t="shared" si="668"/>
        <v>35105</v>
      </c>
      <c r="X427" s="102">
        <f t="shared" si="669"/>
        <v>56.671300000000002</v>
      </c>
      <c r="Y427" s="102">
        <f t="shared" si="670"/>
        <v>16.3888</v>
      </c>
      <c r="Z427" s="21">
        <f t="shared" si="671"/>
        <v>8195</v>
      </c>
      <c r="AA427" s="44">
        <f t="shared" si="672"/>
        <v>0</v>
      </c>
      <c r="AB427" s="21">
        <f t="shared" si="664"/>
        <v>10</v>
      </c>
      <c r="AC427" s="119">
        <f>ROUND(I427+mwreg!$G$43/100,3)</f>
        <v>-0.54</v>
      </c>
      <c r="AD427" s="108">
        <f>ROUND(J427+mwreg!$G$43/100,3)</f>
        <v>1.0329999999999999</v>
      </c>
      <c r="AE427" s="108">
        <f>ROUND(K427+mwreg!$G$43/100,3)</f>
        <v>0.16600000000000001</v>
      </c>
      <c r="AF427" s="102">
        <f t="shared" si="665"/>
        <v>0.1691</v>
      </c>
      <c r="AG427" s="102">
        <f t="shared" si="666"/>
        <v>4.65E-2</v>
      </c>
      <c r="AH427" s="109">
        <f t="shared" si="673"/>
        <v>4.9399999999999999E-2</v>
      </c>
      <c r="AI427" s="110">
        <f t="shared" si="674"/>
        <v>180</v>
      </c>
      <c r="AJ427" s="110">
        <f t="shared" si="675"/>
        <v>60</v>
      </c>
      <c r="AK427" s="108">
        <f t="shared" si="676"/>
        <v>1E-3</v>
      </c>
      <c r="AL427" s="110">
        <f t="shared" si="677"/>
        <v>3</v>
      </c>
      <c r="AM427" s="110">
        <f t="shared" si="678"/>
        <v>1500</v>
      </c>
      <c r="AN427" s="108">
        <f t="shared" si="679"/>
        <v>0.1</v>
      </c>
      <c r="AO427" s="186" t="str">
        <f t="shared" si="680"/>
        <v>NaN</v>
      </c>
    </row>
    <row r="428" spans="1:41" x14ac:dyDescent="0.2">
      <c r="A428" s="3" t="s">
        <v>296</v>
      </c>
      <c r="B428" s="3" t="s">
        <v>296</v>
      </c>
      <c r="C428" s="52">
        <v>35105</v>
      </c>
      <c r="D428" s="105">
        <v>56.671300000000002</v>
      </c>
      <c r="E428" s="105">
        <v>16.3888</v>
      </c>
      <c r="F428" s="20">
        <v>8195</v>
      </c>
      <c r="G428" s="18">
        <v>0</v>
      </c>
      <c r="H428" s="53">
        <v>11</v>
      </c>
      <c r="I428" s="167">
        <f t="shared" si="681"/>
        <v>-0.81799999999999995</v>
      </c>
      <c r="J428" s="104">
        <f t="shared" si="681"/>
        <v>1.0309999999999999</v>
      </c>
      <c r="K428" s="104">
        <f t="shared" si="681"/>
        <v>5.3999999999999999E-2</v>
      </c>
      <c r="L428" s="105">
        <f t="shared" si="683"/>
        <v>0.20219999999999999</v>
      </c>
      <c r="M428" s="105">
        <f t="shared" si="683"/>
        <v>0.105</v>
      </c>
      <c r="N428" s="105">
        <f t="shared" si="683"/>
        <v>0.1081</v>
      </c>
      <c r="O428" s="20">
        <f t="shared" ref="O428:P428" si="704">ROUND(0.558*O416+0.442*O440,0)</f>
        <v>180</v>
      </c>
      <c r="P428" s="20">
        <f t="shared" si="704"/>
        <v>60</v>
      </c>
      <c r="Q428" s="104">
        <f t="shared" si="685"/>
        <v>1E-3</v>
      </c>
      <c r="R428" s="20">
        <f t="shared" ref="R428:S428" si="705">ROUND(0.558*R416+0.442*R440,0)</f>
        <v>3</v>
      </c>
      <c r="S428" s="20">
        <f t="shared" si="705"/>
        <v>1500</v>
      </c>
      <c r="T428" s="104">
        <f t="shared" si="687"/>
        <v>0.1</v>
      </c>
      <c r="U428" s="53" t="s">
        <v>282</v>
      </c>
      <c r="V428" s="21"/>
      <c r="W428" s="58">
        <f t="shared" si="668"/>
        <v>35105</v>
      </c>
      <c r="X428" s="102">
        <f t="shared" si="669"/>
        <v>56.671300000000002</v>
      </c>
      <c r="Y428" s="102">
        <f t="shared" si="670"/>
        <v>16.3888</v>
      </c>
      <c r="Z428" s="21">
        <f t="shared" si="671"/>
        <v>8195</v>
      </c>
      <c r="AA428" s="44">
        <f t="shared" si="672"/>
        <v>0</v>
      </c>
      <c r="AB428" s="21">
        <f t="shared" si="664"/>
        <v>11</v>
      </c>
      <c r="AC428" s="119">
        <f>ROUND(I428+mwreg!$G$43/100,3)</f>
        <v>-0.69299999999999995</v>
      </c>
      <c r="AD428" s="108">
        <f>ROUND(J428+mwreg!$G$43/100,3)</f>
        <v>1.1559999999999999</v>
      </c>
      <c r="AE428" s="108">
        <f>ROUND(K428+mwreg!$G$43/100,3)</f>
        <v>0.17899999999999999</v>
      </c>
      <c r="AF428" s="102">
        <f t="shared" si="665"/>
        <v>0.20219999999999999</v>
      </c>
      <c r="AG428" s="102">
        <f t="shared" si="666"/>
        <v>0.105</v>
      </c>
      <c r="AH428" s="109">
        <f t="shared" si="673"/>
        <v>0.1081</v>
      </c>
      <c r="AI428" s="110">
        <f t="shared" si="674"/>
        <v>180</v>
      </c>
      <c r="AJ428" s="110">
        <f t="shared" si="675"/>
        <v>60</v>
      </c>
      <c r="AK428" s="108">
        <f t="shared" si="676"/>
        <v>1E-3</v>
      </c>
      <c r="AL428" s="110">
        <f t="shared" si="677"/>
        <v>3</v>
      </c>
      <c r="AM428" s="110">
        <f t="shared" si="678"/>
        <v>1500</v>
      </c>
      <c r="AN428" s="108">
        <f t="shared" si="679"/>
        <v>0.1</v>
      </c>
      <c r="AO428" s="186" t="str">
        <f t="shared" si="680"/>
        <v>NaN</v>
      </c>
    </row>
    <row r="429" spans="1:41" x14ac:dyDescent="0.2">
      <c r="A429" s="3" t="s">
        <v>296</v>
      </c>
      <c r="B429" s="3" t="s">
        <v>296</v>
      </c>
      <c r="C429" s="52">
        <v>35105</v>
      </c>
      <c r="D429" s="105">
        <v>56.671300000000002</v>
      </c>
      <c r="E429" s="105">
        <v>16.3888</v>
      </c>
      <c r="F429" s="20">
        <v>8195</v>
      </c>
      <c r="G429" s="18">
        <v>0</v>
      </c>
      <c r="H429" s="53">
        <v>12</v>
      </c>
      <c r="I429" s="167">
        <f t="shared" si="681"/>
        <v>-0.75</v>
      </c>
      <c r="J429" s="104">
        <f t="shared" si="681"/>
        <v>1.01</v>
      </c>
      <c r="K429" s="104">
        <f t="shared" si="681"/>
        <v>8.1000000000000003E-2</v>
      </c>
      <c r="L429" s="105">
        <f t="shared" si="683"/>
        <v>0.2041</v>
      </c>
      <c r="M429" s="105">
        <f t="shared" si="683"/>
        <v>4.0500000000000001E-2</v>
      </c>
      <c r="N429" s="105">
        <f t="shared" si="683"/>
        <v>4.3499999999999997E-2</v>
      </c>
      <c r="O429" s="20">
        <f t="shared" ref="O429:P429" si="706">ROUND(0.558*O417+0.442*O441,0)</f>
        <v>180</v>
      </c>
      <c r="P429" s="20">
        <f t="shared" si="706"/>
        <v>60</v>
      </c>
      <c r="Q429" s="104">
        <f t="shared" si="685"/>
        <v>1E-3</v>
      </c>
      <c r="R429" s="20">
        <f t="shared" ref="R429:S429" si="707">ROUND(0.558*R417+0.442*R441,0)</f>
        <v>3</v>
      </c>
      <c r="S429" s="20">
        <f t="shared" si="707"/>
        <v>1500</v>
      </c>
      <c r="T429" s="104">
        <f t="shared" si="687"/>
        <v>0.1</v>
      </c>
      <c r="U429" s="53" t="s">
        <v>282</v>
      </c>
      <c r="V429" s="21"/>
      <c r="W429" s="58">
        <f t="shared" si="668"/>
        <v>35105</v>
      </c>
      <c r="X429" s="102">
        <f t="shared" si="669"/>
        <v>56.671300000000002</v>
      </c>
      <c r="Y429" s="102">
        <f t="shared" si="670"/>
        <v>16.3888</v>
      </c>
      <c r="Z429" s="21">
        <f t="shared" si="671"/>
        <v>8195</v>
      </c>
      <c r="AA429" s="44">
        <f t="shared" si="672"/>
        <v>0</v>
      </c>
      <c r="AB429" s="21">
        <f t="shared" si="664"/>
        <v>12</v>
      </c>
      <c r="AC429" s="119">
        <f>ROUND(I429+mwreg!$G$43/100,3)</f>
        <v>-0.625</v>
      </c>
      <c r="AD429" s="108">
        <f>ROUND(J429+mwreg!$G$43/100,3)</f>
        <v>1.135</v>
      </c>
      <c r="AE429" s="108">
        <f>ROUND(K429+mwreg!$G$43/100,3)</f>
        <v>0.20599999999999999</v>
      </c>
      <c r="AF429" s="102">
        <f t="shared" si="665"/>
        <v>0.2041</v>
      </c>
      <c r="AG429" s="102">
        <f t="shared" si="666"/>
        <v>4.0500000000000001E-2</v>
      </c>
      <c r="AH429" s="109">
        <f t="shared" si="673"/>
        <v>4.3499999999999997E-2</v>
      </c>
      <c r="AI429" s="110">
        <f t="shared" si="674"/>
        <v>180</v>
      </c>
      <c r="AJ429" s="110">
        <f t="shared" si="675"/>
        <v>60</v>
      </c>
      <c r="AK429" s="108">
        <f t="shared" si="676"/>
        <v>1E-3</v>
      </c>
      <c r="AL429" s="110">
        <f t="shared" si="677"/>
        <v>3</v>
      </c>
      <c r="AM429" s="110">
        <f t="shared" si="678"/>
        <v>1500</v>
      </c>
      <c r="AN429" s="108">
        <f t="shared" si="679"/>
        <v>0.1</v>
      </c>
      <c r="AO429" s="186" t="str">
        <f t="shared" si="680"/>
        <v>NaN</v>
      </c>
    </row>
    <row r="430" spans="1:41" x14ac:dyDescent="0.2">
      <c r="A430" s="3" t="str">
        <f>stat_uppg!A44</f>
        <v>2088/33063</v>
      </c>
      <c r="B430" s="3" t="str">
        <f>stat_uppg!B44</f>
        <v>KUNGSHOLMSFORT (SMHI)</v>
      </c>
      <c r="C430" s="55">
        <v>2088</v>
      </c>
      <c r="D430" s="79">
        <v>56.1053</v>
      </c>
      <c r="E430" s="79">
        <v>15.589399999999999</v>
      </c>
      <c r="F430" s="14">
        <v>8195</v>
      </c>
      <c r="G430" s="10">
        <v>0</v>
      </c>
      <c r="H430" s="122">
        <v>1</v>
      </c>
      <c r="I430" s="165">
        <v>-0.88600000000000001</v>
      </c>
      <c r="J430" s="11">
        <v>1.327</v>
      </c>
      <c r="K430" s="11">
        <v>0.108</v>
      </c>
      <c r="L430" s="79">
        <v>0.24479999999999999</v>
      </c>
      <c r="M430" s="79">
        <v>4.3200000000000002E-2</v>
      </c>
      <c r="N430" s="79">
        <v>4.5999999999999999E-2</v>
      </c>
      <c r="O430" s="14">
        <v>180</v>
      </c>
      <c r="P430" s="14">
        <v>60</v>
      </c>
      <c r="Q430" s="11">
        <v>1E-3</v>
      </c>
      <c r="R430" s="14">
        <v>3</v>
      </c>
      <c r="S430" s="14">
        <v>1500</v>
      </c>
      <c r="T430" s="11">
        <v>0.1</v>
      </c>
      <c r="U430" s="122">
        <v>275863</v>
      </c>
      <c r="V430" s="35"/>
      <c r="W430" s="99">
        <f t="shared" si="668"/>
        <v>2088</v>
      </c>
      <c r="X430" s="100">
        <f t="shared" si="669"/>
        <v>56.1053</v>
      </c>
      <c r="Y430" s="100">
        <f t="shared" si="670"/>
        <v>15.589399999999999</v>
      </c>
      <c r="Z430" s="22">
        <f t="shared" si="671"/>
        <v>8195</v>
      </c>
      <c r="AA430" s="35">
        <f t="shared" si="672"/>
        <v>0</v>
      </c>
      <c r="AB430" s="22">
        <f t="shared" si="664"/>
        <v>1</v>
      </c>
      <c r="AC430" s="118">
        <f>ROUND(I430+mwreg!$G$44/100,3)</f>
        <v>-0.753</v>
      </c>
      <c r="AD430" s="83">
        <f>ROUND(J430+mwreg!$G$44/100,3)</f>
        <v>1.46</v>
      </c>
      <c r="AE430" s="83">
        <f>ROUND(K430+mwreg!$G$44/100,3)</f>
        <v>0.24099999999999999</v>
      </c>
      <c r="AF430" s="100">
        <f t="shared" si="665"/>
        <v>0.24479999999999999</v>
      </c>
      <c r="AG430" s="100">
        <f t="shared" si="666"/>
        <v>4.3200000000000002E-2</v>
      </c>
      <c r="AH430" s="84">
        <f t="shared" si="673"/>
        <v>4.5999999999999999E-2</v>
      </c>
      <c r="AI430" s="82">
        <f t="shared" si="674"/>
        <v>180</v>
      </c>
      <c r="AJ430" s="82">
        <f t="shared" si="675"/>
        <v>60</v>
      </c>
      <c r="AK430" s="83">
        <f t="shared" si="676"/>
        <v>1E-3</v>
      </c>
      <c r="AL430" s="82">
        <f t="shared" si="677"/>
        <v>3</v>
      </c>
      <c r="AM430" s="82">
        <f t="shared" si="678"/>
        <v>1500</v>
      </c>
      <c r="AN430" s="83">
        <f t="shared" si="679"/>
        <v>0.1</v>
      </c>
      <c r="AO430" s="188">
        <f t="shared" si="680"/>
        <v>275863</v>
      </c>
    </row>
    <row r="431" spans="1:41" x14ac:dyDescent="0.2">
      <c r="A431" s="3" t="s">
        <v>296</v>
      </c>
      <c r="B431" s="3" t="s">
        <v>296</v>
      </c>
      <c r="C431" s="55">
        <v>2088</v>
      </c>
      <c r="D431" s="79">
        <v>56.1053</v>
      </c>
      <c r="E431" s="79">
        <v>15.589399999999999</v>
      </c>
      <c r="F431" s="14">
        <v>8195</v>
      </c>
      <c r="G431" s="10">
        <v>0</v>
      </c>
      <c r="H431" s="122">
        <v>2</v>
      </c>
      <c r="I431" s="165">
        <v>-0.90400000000000003</v>
      </c>
      <c r="J431" s="11">
        <v>1.1020000000000001</v>
      </c>
      <c r="K431" s="11">
        <v>5.0999999999999997E-2</v>
      </c>
      <c r="L431" s="79">
        <v>0.2487</v>
      </c>
      <c r="M431" s="79">
        <v>3.5499999999999997E-2</v>
      </c>
      <c r="N431" s="79">
        <v>3.7999999999999999E-2</v>
      </c>
      <c r="O431" s="14">
        <v>180</v>
      </c>
      <c r="P431" s="14">
        <v>60</v>
      </c>
      <c r="Q431" s="11">
        <v>1E-3</v>
      </c>
      <c r="R431" s="14">
        <v>3</v>
      </c>
      <c r="S431" s="14">
        <v>1500</v>
      </c>
      <c r="T431" s="11">
        <v>0.1</v>
      </c>
      <c r="U431" s="122">
        <v>251144</v>
      </c>
      <c r="V431" s="35"/>
      <c r="W431" s="99">
        <f t="shared" si="668"/>
        <v>2088</v>
      </c>
      <c r="X431" s="100">
        <f t="shared" si="669"/>
        <v>56.1053</v>
      </c>
      <c r="Y431" s="100">
        <f t="shared" si="670"/>
        <v>15.589399999999999</v>
      </c>
      <c r="Z431" s="22">
        <f t="shared" si="671"/>
        <v>8195</v>
      </c>
      <c r="AA431" s="35">
        <f t="shared" si="672"/>
        <v>0</v>
      </c>
      <c r="AB431" s="22">
        <f t="shared" si="664"/>
        <v>2</v>
      </c>
      <c r="AC431" s="118">
        <f>ROUND(I431+mwreg!$G$44/100,3)</f>
        <v>-0.77100000000000002</v>
      </c>
      <c r="AD431" s="83">
        <f>ROUND(J431+mwreg!$G$44/100,3)</f>
        <v>1.2350000000000001</v>
      </c>
      <c r="AE431" s="83">
        <f>ROUND(K431+mwreg!$G$44/100,3)</f>
        <v>0.184</v>
      </c>
      <c r="AF431" s="100">
        <f t="shared" si="665"/>
        <v>0.2487</v>
      </c>
      <c r="AG431" s="100">
        <f t="shared" si="666"/>
        <v>3.5499999999999997E-2</v>
      </c>
      <c r="AH431" s="84">
        <f t="shared" si="673"/>
        <v>3.7999999999999999E-2</v>
      </c>
      <c r="AI431" s="82">
        <f t="shared" si="674"/>
        <v>180</v>
      </c>
      <c r="AJ431" s="82">
        <f t="shared" si="675"/>
        <v>60</v>
      </c>
      <c r="AK431" s="83">
        <f t="shared" si="676"/>
        <v>1E-3</v>
      </c>
      <c r="AL431" s="82">
        <f t="shared" si="677"/>
        <v>3</v>
      </c>
      <c r="AM431" s="82">
        <f t="shared" si="678"/>
        <v>1500</v>
      </c>
      <c r="AN431" s="83">
        <f t="shared" si="679"/>
        <v>0.1</v>
      </c>
      <c r="AO431" s="188">
        <f t="shared" si="680"/>
        <v>251144</v>
      </c>
    </row>
    <row r="432" spans="1:41" x14ac:dyDescent="0.2">
      <c r="A432" s="3" t="s">
        <v>296</v>
      </c>
      <c r="B432" s="3" t="s">
        <v>296</v>
      </c>
      <c r="C432" s="55">
        <v>2088</v>
      </c>
      <c r="D432" s="79">
        <v>56.1053</v>
      </c>
      <c r="E432" s="79">
        <v>15.589399999999999</v>
      </c>
      <c r="F432" s="14">
        <v>8195</v>
      </c>
      <c r="G432" s="10">
        <v>0</v>
      </c>
      <c r="H432" s="122">
        <v>3</v>
      </c>
      <c r="I432" s="165">
        <v>-0.82699999999999996</v>
      </c>
      <c r="J432" s="11">
        <v>0.93500000000000005</v>
      </c>
      <c r="K432" s="11">
        <v>-3.0000000000000001E-3</v>
      </c>
      <c r="L432" s="79">
        <v>0.22689999999999999</v>
      </c>
      <c r="M432" s="79">
        <v>2.3699999999999999E-2</v>
      </c>
      <c r="N432" s="79">
        <v>2.5999999999999999E-2</v>
      </c>
      <c r="O432" s="14">
        <v>180</v>
      </c>
      <c r="P432" s="14">
        <v>60</v>
      </c>
      <c r="Q432" s="11">
        <v>1E-3</v>
      </c>
      <c r="R432" s="14">
        <v>3</v>
      </c>
      <c r="S432" s="14">
        <v>1500</v>
      </c>
      <c r="T432" s="11">
        <v>0.1</v>
      </c>
      <c r="U432" s="122">
        <v>275259</v>
      </c>
      <c r="V432" s="35"/>
      <c r="W432" s="99">
        <f t="shared" si="668"/>
        <v>2088</v>
      </c>
      <c r="X432" s="100">
        <f t="shared" si="669"/>
        <v>56.1053</v>
      </c>
      <c r="Y432" s="100">
        <f t="shared" si="670"/>
        <v>15.589399999999999</v>
      </c>
      <c r="Z432" s="22">
        <f t="shared" si="671"/>
        <v>8195</v>
      </c>
      <c r="AA432" s="35">
        <f t="shared" si="672"/>
        <v>0</v>
      </c>
      <c r="AB432" s="22">
        <f t="shared" si="664"/>
        <v>3</v>
      </c>
      <c r="AC432" s="118">
        <f>ROUND(I432+mwreg!$G$44/100,3)</f>
        <v>-0.69399999999999995</v>
      </c>
      <c r="AD432" s="83">
        <f>ROUND(J432+mwreg!$G$44/100,3)</f>
        <v>1.0680000000000001</v>
      </c>
      <c r="AE432" s="83">
        <f>ROUND(K432+mwreg!$G$44/100,3)</f>
        <v>0.13</v>
      </c>
      <c r="AF432" s="100">
        <f t="shared" si="665"/>
        <v>0.22689999999999999</v>
      </c>
      <c r="AG432" s="100">
        <f t="shared" si="666"/>
        <v>2.3699999999999999E-2</v>
      </c>
      <c r="AH432" s="84">
        <f t="shared" si="673"/>
        <v>2.5999999999999999E-2</v>
      </c>
      <c r="AI432" s="82">
        <f t="shared" si="674"/>
        <v>180</v>
      </c>
      <c r="AJ432" s="82">
        <f t="shared" si="675"/>
        <v>60</v>
      </c>
      <c r="AK432" s="83">
        <f t="shared" si="676"/>
        <v>1E-3</v>
      </c>
      <c r="AL432" s="82">
        <f t="shared" si="677"/>
        <v>3</v>
      </c>
      <c r="AM432" s="82">
        <f t="shared" si="678"/>
        <v>1500</v>
      </c>
      <c r="AN432" s="83">
        <f t="shared" si="679"/>
        <v>0.1</v>
      </c>
      <c r="AO432" s="188">
        <f t="shared" si="680"/>
        <v>275259</v>
      </c>
    </row>
    <row r="433" spans="1:41" x14ac:dyDescent="0.2">
      <c r="A433" s="3" t="s">
        <v>296</v>
      </c>
      <c r="B433" s="3" t="s">
        <v>296</v>
      </c>
      <c r="C433" s="55">
        <v>2088</v>
      </c>
      <c r="D433" s="79">
        <v>56.1053</v>
      </c>
      <c r="E433" s="79">
        <v>15.589399999999999</v>
      </c>
      <c r="F433" s="14">
        <v>8195</v>
      </c>
      <c r="G433" s="10">
        <v>0</v>
      </c>
      <c r="H433" s="122">
        <v>4</v>
      </c>
      <c r="I433" s="165">
        <v>-0.67500000000000004</v>
      </c>
      <c r="J433" s="11">
        <v>0.86599999999999999</v>
      </c>
      <c r="K433" s="11">
        <v>-5.8000000000000003E-2</v>
      </c>
      <c r="L433" s="79">
        <v>0.15620000000000001</v>
      </c>
      <c r="M433" s="79">
        <v>4.2799999999999998E-2</v>
      </c>
      <c r="N433" s="79">
        <v>4.4999999999999998E-2</v>
      </c>
      <c r="O433" s="14">
        <v>180</v>
      </c>
      <c r="P433" s="14">
        <v>60</v>
      </c>
      <c r="Q433" s="11">
        <v>1E-3</v>
      </c>
      <c r="R433" s="14">
        <v>3</v>
      </c>
      <c r="S433" s="14">
        <v>1500</v>
      </c>
      <c r="T433" s="11">
        <v>0.1</v>
      </c>
      <c r="U433" s="122">
        <v>265626</v>
      </c>
      <c r="V433" s="35"/>
      <c r="W433" s="99">
        <f t="shared" si="668"/>
        <v>2088</v>
      </c>
      <c r="X433" s="100">
        <f t="shared" si="669"/>
        <v>56.1053</v>
      </c>
      <c r="Y433" s="100">
        <f t="shared" si="670"/>
        <v>15.589399999999999</v>
      </c>
      <c r="Z433" s="22">
        <f t="shared" si="671"/>
        <v>8195</v>
      </c>
      <c r="AA433" s="35">
        <f t="shared" si="672"/>
        <v>0</v>
      </c>
      <c r="AB433" s="22">
        <f t="shared" si="664"/>
        <v>4</v>
      </c>
      <c r="AC433" s="118">
        <f>ROUND(I433+mwreg!$G$44/100,3)</f>
        <v>-0.54200000000000004</v>
      </c>
      <c r="AD433" s="83">
        <f>ROUND(J433+mwreg!$G$44/100,3)</f>
        <v>0.999</v>
      </c>
      <c r="AE433" s="83">
        <f>ROUND(K433+mwreg!$G$44/100,3)</f>
        <v>7.4999999999999997E-2</v>
      </c>
      <c r="AF433" s="100">
        <f t="shared" si="665"/>
        <v>0.15620000000000001</v>
      </c>
      <c r="AG433" s="100">
        <f t="shared" si="666"/>
        <v>4.2799999999999998E-2</v>
      </c>
      <c r="AH433" s="84">
        <f t="shared" si="673"/>
        <v>4.4999999999999998E-2</v>
      </c>
      <c r="AI433" s="82">
        <f t="shared" si="674"/>
        <v>180</v>
      </c>
      <c r="AJ433" s="82">
        <f t="shared" si="675"/>
        <v>60</v>
      </c>
      <c r="AK433" s="83">
        <f t="shared" si="676"/>
        <v>1E-3</v>
      </c>
      <c r="AL433" s="82">
        <f t="shared" si="677"/>
        <v>3</v>
      </c>
      <c r="AM433" s="82">
        <f t="shared" si="678"/>
        <v>1500</v>
      </c>
      <c r="AN433" s="83">
        <f t="shared" si="679"/>
        <v>0.1</v>
      </c>
      <c r="AO433" s="188">
        <f t="shared" si="680"/>
        <v>265626</v>
      </c>
    </row>
    <row r="434" spans="1:41" x14ac:dyDescent="0.2">
      <c r="A434" s="3" t="s">
        <v>296</v>
      </c>
      <c r="B434" s="3" t="s">
        <v>296</v>
      </c>
      <c r="C434" s="55">
        <v>2088</v>
      </c>
      <c r="D434" s="79">
        <v>56.1053</v>
      </c>
      <c r="E434" s="79">
        <v>15.589399999999999</v>
      </c>
      <c r="F434" s="14">
        <v>8195</v>
      </c>
      <c r="G434" s="10">
        <v>0</v>
      </c>
      <c r="H434" s="122">
        <v>5</v>
      </c>
      <c r="I434" s="165">
        <v>-0.56299999999999994</v>
      </c>
      <c r="J434" s="11">
        <v>0.38700000000000001</v>
      </c>
      <c r="K434" s="11">
        <v>-0.05</v>
      </c>
      <c r="L434" s="79">
        <v>0.1241</v>
      </c>
      <c r="M434" s="79">
        <v>4.0800000000000003E-2</v>
      </c>
      <c r="N434" s="79">
        <v>4.2999999999999997E-2</v>
      </c>
      <c r="O434" s="14">
        <v>180</v>
      </c>
      <c r="P434" s="14">
        <v>60</v>
      </c>
      <c r="Q434" s="11">
        <v>1E-3</v>
      </c>
      <c r="R434" s="14">
        <v>3</v>
      </c>
      <c r="S434" s="14">
        <v>1500</v>
      </c>
      <c r="T434" s="11">
        <v>0.1</v>
      </c>
      <c r="U434" s="122">
        <v>272836</v>
      </c>
      <c r="V434" s="35"/>
      <c r="W434" s="99">
        <f t="shared" si="668"/>
        <v>2088</v>
      </c>
      <c r="X434" s="100">
        <f t="shared" si="669"/>
        <v>56.1053</v>
      </c>
      <c r="Y434" s="100">
        <f t="shared" si="670"/>
        <v>15.589399999999999</v>
      </c>
      <c r="Z434" s="22">
        <f t="shared" si="671"/>
        <v>8195</v>
      </c>
      <c r="AA434" s="35">
        <f t="shared" si="672"/>
        <v>0</v>
      </c>
      <c r="AB434" s="22">
        <f t="shared" si="664"/>
        <v>5</v>
      </c>
      <c r="AC434" s="118">
        <f>ROUND(I434+mwreg!$G$44/100,3)</f>
        <v>-0.43</v>
      </c>
      <c r="AD434" s="83">
        <f>ROUND(J434+mwreg!$G$44/100,3)</f>
        <v>0.52</v>
      </c>
      <c r="AE434" s="83">
        <f>ROUND(K434+mwreg!$G$44/100,3)</f>
        <v>8.3000000000000004E-2</v>
      </c>
      <c r="AF434" s="100">
        <f t="shared" si="665"/>
        <v>0.1241</v>
      </c>
      <c r="AG434" s="100">
        <f t="shared" si="666"/>
        <v>4.0800000000000003E-2</v>
      </c>
      <c r="AH434" s="84">
        <f t="shared" si="673"/>
        <v>4.2999999999999997E-2</v>
      </c>
      <c r="AI434" s="82">
        <f t="shared" si="674"/>
        <v>180</v>
      </c>
      <c r="AJ434" s="82">
        <f t="shared" si="675"/>
        <v>60</v>
      </c>
      <c r="AK434" s="83">
        <f t="shared" si="676"/>
        <v>1E-3</v>
      </c>
      <c r="AL434" s="82">
        <f t="shared" si="677"/>
        <v>3</v>
      </c>
      <c r="AM434" s="82">
        <f t="shared" si="678"/>
        <v>1500</v>
      </c>
      <c r="AN434" s="83">
        <f t="shared" si="679"/>
        <v>0.1</v>
      </c>
      <c r="AO434" s="188">
        <f t="shared" si="680"/>
        <v>272836</v>
      </c>
    </row>
    <row r="435" spans="1:41" x14ac:dyDescent="0.2">
      <c r="A435" s="3" t="s">
        <v>296</v>
      </c>
      <c r="B435" s="3" t="s">
        <v>296</v>
      </c>
      <c r="C435" s="55">
        <v>2088</v>
      </c>
      <c r="D435" s="79">
        <v>56.1053</v>
      </c>
      <c r="E435" s="79">
        <v>15.589399999999999</v>
      </c>
      <c r="F435" s="14">
        <v>8195</v>
      </c>
      <c r="G435" s="10">
        <v>0</v>
      </c>
      <c r="H435" s="122">
        <v>6</v>
      </c>
      <c r="I435" s="165">
        <v>-0.503</v>
      </c>
      <c r="J435" s="11">
        <v>0.43</v>
      </c>
      <c r="K435" s="11">
        <v>-2.1000000000000001E-2</v>
      </c>
      <c r="L435" s="79">
        <v>0.1075</v>
      </c>
      <c r="M435" s="79">
        <v>4.7800000000000002E-2</v>
      </c>
      <c r="N435" s="79">
        <v>0.05</v>
      </c>
      <c r="O435" s="14">
        <v>180</v>
      </c>
      <c r="P435" s="14">
        <v>60</v>
      </c>
      <c r="Q435" s="11">
        <v>1E-3</v>
      </c>
      <c r="R435" s="14">
        <v>3</v>
      </c>
      <c r="S435" s="14">
        <v>1500</v>
      </c>
      <c r="T435" s="11">
        <v>0.1</v>
      </c>
      <c r="U435" s="122">
        <v>260210</v>
      </c>
      <c r="V435" s="35"/>
      <c r="W435" s="99">
        <f t="shared" si="668"/>
        <v>2088</v>
      </c>
      <c r="X435" s="100">
        <f t="shared" si="669"/>
        <v>56.1053</v>
      </c>
      <c r="Y435" s="100">
        <f t="shared" si="670"/>
        <v>15.589399999999999</v>
      </c>
      <c r="Z435" s="22">
        <f t="shared" si="671"/>
        <v>8195</v>
      </c>
      <c r="AA435" s="35">
        <f t="shared" si="672"/>
        <v>0</v>
      </c>
      <c r="AB435" s="22">
        <f t="shared" si="664"/>
        <v>6</v>
      </c>
      <c r="AC435" s="118">
        <f>ROUND(I435+mwreg!$G$44/100,3)</f>
        <v>-0.37</v>
      </c>
      <c r="AD435" s="83">
        <f>ROUND(J435+mwreg!$G$44/100,3)</f>
        <v>0.56299999999999994</v>
      </c>
      <c r="AE435" s="83">
        <f>ROUND(K435+mwreg!$G$44/100,3)</f>
        <v>0.112</v>
      </c>
      <c r="AF435" s="100">
        <f t="shared" ref="AF435:AF477" si="708">L435</f>
        <v>0.1075</v>
      </c>
      <c r="AG435" s="100">
        <f t="shared" ref="AG435:AG477" si="709">M435</f>
        <v>4.7800000000000002E-2</v>
      </c>
      <c r="AH435" s="84">
        <f t="shared" si="673"/>
        <v>0.05</v>
      </c>
      <c r="AI435" s="82">
        <f t="shared" si="674"/>
        <v>180</v>
      </c>
      <c r="AJ435" s="82">
        <f t="shared" si="675"/>
        <v>60</v>
      </c>
      <c r="AK435" s="83">
        <f t="shared" si="676"/>
        <v>1E-3</v>
      </c>
      <c r="AL435" s="82">
        <f t="shared" si="677"/>
        <v>3</v>
      </c>
      <c r="AM435" s="82">
        <f t="shared" si="678"/>
        <v>1500</v>
      </c>
      <c r="AN435" s="83">
        <f t="shared" si="679"/>
        <v>0.1</v>
      </c>
      <c r="AO435" s="188">
        <f t="shared" si="680"/>
        <v>260210</v>
      </c>
    </row>
    <row r="436" spans="1:41" x14ac:dyDescent="0.2">
      <c r="A436" s="3" t="s">
        <v>296</v>
      </c>
      <c r="B436" s="3" t="s">
        <v>296</v>
      </c>
      <c r="C436" s="55">
        <v>2088</v>
      </c>
      <c r="D436" s="79">
        <v>56.1053</v>
      </c>
      <c r="E436" s="79">
        <v>15.589399999999999</v>
      </c>
      <c r="F436" s="14">
        <v>8195</v>
      </c>
      <c r="G436" s="10">
        <v>0</v>
      </c>
      <c r="H436" s="122">
        <v>7</v>
      </c>
      <c r="I436" s="165">
        <v>-0.48399999999999999</v>
      </c>
      <c r="J436" s="11">
        <v>0.47499999999999998</v>
      </c>
      <c r="K436" s="11">
        <v>7.0999999999999994E-2</v>
      </c>
      <c r="L436" s="79">
        <v>0.10979999999999999</v>
      </c>
      <c r="M436" s="79">
        <v>6.7799999999999999E-2</v>
      </c>
      <c r="N436" s="79">
        <v>7.0000000000000007E-2</v>
      </c>
      <c r="O436" s="14">
        <v>180</v>
      </c>
      <c r="P436" s="14">
        <v>60</v>
      </c>
      <c r="Q436" s="11">
        <v>1E-3</v>
      </c>
      <c r="R436" s="14">
        <v>3</v>
      </c>
      <c r="S436" s="14">
        <v>1500</v>
      </c>
      <c r="T436" s="11">
        <v>0.1</v>
      </c>
      <c r="U436" s="122">
        <v>267377</v>
      </c>
      <c r="V436" s="35"/>
      <c r="W436" s="99">
        <f t="shared" si="668"/>
        <v>2088</v>
      </c>
      <c r="X436" s="100">
        <f t="shared" si="669"/>
        <v>56.1053</v>
      </c>
      <c r="Y436" s="100">
        <f t="shared" si="670"/>
        <v>15.589399999999999</v>
      </c>
      <c r="Z436" s="22">
        <f t="shared" si="671"/>
        <v>8195</v>
      </c>
      <c r="AA436" s="35">
        <f t="shared" si="672"/>
        <v>0</v>
      </c>
      <c r="AB436" s="22">
        <f t="shared" si="664"/>
        <v>7</v>
      </c>
      <c r="AC436" s="118">
        <f>ROUND(I436+mwreg!$G$44/100,3)</f>
        <v>-0.35099999999999998</v>
      </c>
      <c r="AD436" s="83">
        <f>ROUND(J436+mwreg!$G$44/100,3)</f>
        <v>0.60799999999999998</v>
      </c>
      <c r="AE436" s="83">
        <f>ROUND(K436+mwreg!$G$44/100,3)</f>
        <v>0.20399999999999999</v>
      </c>
      <c r="AF436" s="100">
        <f t="shared" si="708"/>
        <v>0.10979999999999999</v>
      </c>
      <c r="AG436" s="100">
        <f t="shared" si="709"/>
        <v>6.7799999999999999E-2</v>
      </c>
      <c r="AH436" s="84">
        <f t="shared" si="673"/>
        <v>7.0000000000000007E-2</v>
      </c>
      <c r="AI436" s="82">
        <f t="shared" si="674"/>
        <v>180</v>
      </c>
      <c r="AJ436" s="82">
        <f t="shared" si="675"/>
        <v>60</v>
      </c>
      <c r="AK436" s="83">
        <f t="shared" si="676"/>
        <v>1E-3</v>
      </c>
      <c r="AL436" s="82">
        <f t="shared" si="677"/>
        <v>3</v>
      </c>
      <c r="AM436" s="82">
        <f t="shared" si="678"/>
        <v>1500</v>
      </c>
      <c r="AN436" s="83">
        <f t="shared" si="679"/>
        <v>0.1</v>
      </c>
      <c r="AO436" s="188">
        <f t="shared" si="680"/>
        <v>267377</v>
      </c>
    </row>
    <row r="437" spans="1:41" x14ac:dyDescent="0.2">
      <c r="A437" s="3" t="s">
        <v>296</v>
      </c>
      <c r="B437" s="3" t="s">
        <v>296</v>
      </c>
      <c r="C437" s="55">
        <v>2088</v>
      </c>
      <c r="D437" s="79">
        <v>56.1053</v>
      </c>
      <c r="E437" s="79">
        <v>15.589399999999999</v>
      </c>
      <c r="F437" s="14">
        <v>8195</v>
      </c>
      <c r="G437" s="10">
        <v>0</v>
      </c>
      <c r="H437" s="122">
        <v>8</v>
      </c>
      <c r="I437" s="165">
        <v>-0.50900000000000001</v>
      </c>
      <c r="J437" s="11">
        <v>0.52500000000000002</v>
      </c>
      <c r="K437" s="11">
        <v>0.04</v>
      </c>
      <c r="L437" s="79">
        <v>0.1123</v>
      </c>
      <c r="M437" s="79">
        <v>4.99E-2</v>
      </c>
      <c r="N437" s="79">
        <v>5.1999999999999998E-2</v>
      </c>
      <c r="O437" s="14">
        <v>180</v>
      </c>
      <c r="P437" s="14">
        <v>60</v>
      </c>
      <c r="Q437" s="11">
        <v>1E-3</v>
      </c>
      <c r="R437" s="14">
        <v>3</v>
      </c>
      <c r="S437" s="14">
        <v>1500</v>
      </c>
      <c r="T437" s="11">
        <v>0.1</v>
      </c>
      <c r="U437" s="122">
        <v>267727</v>
      </c>
      <c r="V437" s="35"/>
      <c r="W437" s="99">
        <f t="shared" si="668"/>
        <v>2088</v>
      </c>
      <c r="X437" s="100">
        <f t="shared" si="669"/>
        <v>56.1053</v>
      </c>
      <c r="Y437" s="100">
        <f t="shared" si="670"/>
        <v>15.589399999999999</v>
      </c>
      <c r="Z437" s="22">
        <f t="shared" si="671"/>
        <v>8195</v>
      </c>
      <c r="AA437" s="35">
        <f t="shared" si="672"/>
        <v>0</v>
      </c>
      <c r="AB437" s="22">
        <f t="shared" si="664"/>
        <v>8</v>
      </c>
      <c r="AC437" s="118">
        <f>ROUND(I437+mwreg!$G$44/100,3)</f>
        <v>-0.376</v>
      </c>
      <c r="AD437" s="83">
        <f>ROUND(J437+mwreg!$G$44/100,3)</f>
        <v>0.65800000000000003</v>
      </c>
      <c r="AE437" s="83">
        <f>ROUND(K437+mwreg!$G$44/100,3)</f>
        <v>0.17299999999999999</v>
      </c>
      <c r="AF437" s="100">
        <f t="shared" si="708"/>
        <v>0.1123</v>
      </c>
      <c r="AG437" s="100">
        <f t="shared" si="709"/>
        <v>4.99E-2</v>
      </c>
      <c r="AH437" s="84">
        <f t="shared" si="673"/>
        <v>5.1999999999999998E-2</v>
      </c>
      <c r="AI437" s="82">
        <f t="shared" si="674"/>
        <v>180</v>
      </c>
      <c r="AJ437" s="82">
        <f t="shared" si="675"/>
        <v>60</v>
      </c>
      <c r="AK437" s="83">
        <f t="shared" si="676"/>
        <v>1E-3</v>
      </c>
      <c r="AL437" s="82">
        <f t="shared" si="677"/>
        <v>3</v>
      </c>
      <c r="AM437" s="82">
        <f t="shared" si="678"/>
        <v>1500</v>
      </c>
      <c r="AN437" s="83">
        <f t="shared" si="679"/>
        <v>0.1</v>
      </c>
      <c r="AO437" s="188">
        <f t="shared" si="680"/>
        <v>267727</v>
      </c>
    </row>
    <row r="438" spans="1:41" x14ac:dyDescent="0.2">
      <c r="A438" s="3" t="s">
        <v>296</v>
      </c>
      <c r="B438" s="3" t="s">
        <v>296</v>
      </c>
      <c r="C438" s="55">
        <v>2088</v>
      </c>
      <c r="D438" s="79">
        <v>56.1053</v>
      </c>
      <c r="E438" s="79">
        <v>15.589399999999999</v>
      </c>
      <c r="F438" s="14">
        <v>8195</v>
      </c>
      <c r="G438" s="10">
        <v>0</v>
      </c>
      <c r="H438" s="122">
        <v>9</v>
      </c>
      <c r="I438" s="165">
        <v>-0.72199999999999998</v>
      </c>
      <c r="J438" s="11">
        <v>0.90400000000000003</v>
      </c>
      <c r="K438" s="11">
        <v>7.2999999999999995E-2</v>
      </c>
      <c r="L438" s="79">
        <v>0.14749999999999999</v>
      </c>
      <c r="M438" s="79">
        <v>4.3900000000000002E-2</v>
      </c>
      <c r="N438" s="79">
        <v>4.5999999999999999E-2</v>
      </c>
      <c r="O438" s="14">
        <v>180</v>
      </c>
      <c r="P438" s="14">
        <v>60</v>
      </c>
      <c r="Q438" s="11">
        <v>1E-3</v>
      </c>
      <c r="R438" s="14">
        <v>3</v>
      </c>
      <c r="S438" s="14">
        <v>1500</v>
      </c>
      <c r="T438" s="11">
        <v>0.1</v>
      </c>
      <c r="U438" s="122">
        <v>262487</v>
      </c>
      <c r="V438" s="35"/>
      <c r="W438" s="99">
        <f t="shared" si="668"/>
        <v>2088</v>
      </c>
      <c r="X438" s="100">
        <f t="shared" si="669"/>
        <v>56.1053</v>
      </c>
      <c r="Y438" s="100">
        <f t="shared" si="670"/>
        <v>15.589399999999999</v>
      </c>
      <c r="Z438" s="22">
        <f t="shared" si="671"/>
        <v>8195</v>
      </c>
      <c r="AA438" s="35">
        <f t="shared" si="672"/>
        <v>0</v>
      </c>
      <c r="AB438" s="22">
        <f t="shared" ref="AB438:AB501" si="710">H438</f>
        <v>9</v>
      </c>
      <c r="AC438" s="118">
        <f>ROUND(I438+mwreg!$G$44/100,3)</f>
        <v>-0.58899999999999997</v>
      </c>
      <c r="AD438" s="83">
        <f>ROUND(J438+mwreg!$G$44/100,3)</f>
        <v>1.0369999999999999</v>
      </c>
      <c r="AE438" s="83">
        <f>ROUND(K438+mwreg!$G$44/100,3)</f>
        <v>0.20599999999999999</v>
      </c>
      <c r="AF438" s="100">
        <f t="shared" si="708"/>
        <v>0.14749999999999999</v>
      </c>
      <c r="AG438" s="100">
        <f t="shared" si="709"/>
        <v>4.3900000000000002E-2</v>
      </c>
      <c r="AH438" s="84">
        <f t="shared" si="673"/>
        <v>4.5999999999999999E-2</v>
      </c>
      <c r="AI438" s="82">
        <f t="shared" si="674"/>
        <v>180</v>
      </c>
      <c r="AJ438" s="82">
        <f t="shared" si="675"/>
        <v>60</v>
      </c>
      <c r="AK438" s="83">
        <f t="shared" si="676"/>
        <v>1E-3</v>
      </c>
      <c r="AL438" s="82">
        <f t="shared" si="677"/>
        <v>3</v>
      </c>
      <c r="AM438" s="82">
        <f t="shared" si="678"/>
        <v>1500</v>
      </c>
      <c r="AN438" s="83">
        <f t="shared" si="679"/>
        <v>0.1</v>
      </c>
      <c r="AO438" s="188">
        <f t="shared" si="680"/>
        <v>262487</v>
      </c>
    </row>
    <row r="439" spans="1:41" x14ac:dyDescent="0.2">
      <c r="A439" s="3" t="s">
        <v>296</v>
      </c>
      <c r="B439" s="3" t="s">
        <v>296</v>
      </c>
      <c r="C439" s="55">
        <v>2088</v>
      </c>
      <c r="D439" s="79">
        <v>56.1053</v>
      </c>
      <c r="E439" s="79">
        <v>15.589399999999999</v>
      </c>
      <c r="F439" s="14">
        <v>8195</v>
      </c>
      <c r="G439" s="10">
        <v>0</v>
      </c>
      <c r="H439" s="122">
        <v>10</v>
      </c>
      <c r="I439" s="165">
        <v>-0.81100000000000005</v>
      </c>
      <c r="J439" s="11">
        <v>0.98299999999999998</v>
      </c>
      <c r="K439" s="11">
        <v>5.1999999999999998E-2</v>
      </c>
      <c r="L439" s="79">
        <v>0.17799999999999999</v>
      </c>
      <c r="M439" s="79">
        <v>5.2499999999999998E-2</v>
      </c>
      <c r="N439" s="79">
        <v>5.5E-2</v>
      </c>
      <c r="O439" s="14">
        <v>180</v>
      </c>
      <c r="P439" s="14">
        <v>60</v>
      </c>
      <c r="Q439" s="11">
        <v>1E-3</v>
      </c>
      <c r="R439" s="14">
        <v>3</v>
      </c>
      <c r="S439" s="14">
        <v>1500</v>
      </c>
      <c r="T439" s="11">
        <v>0.1</v>
      </c>
      <c r="U439" s="122">
        <v>274359</v>
      </c>
      <c r="V439" s="35"/>
      <c r="W439" s="99">
        <f t="shared" si="668"/>
        <v>2088</v>
      </c>
      <c r="X439" s="100">
        <f t="shared" si="669"/>
        <v>56.1053</v>
      </c>
      <c r="Y439" s="100">
        <f t="shared" si="670"/>
        <v>15.589399999999999</v>
      </c>
      <c r="Z439" s="22">
        <f t="shared" si="671"/>
        <v>8195</v>
      </c>
      <c r="AA439" s="35">
        <f t="shared" si="672"/>
        <v>0</v>
      </c>
      <c r="AB439" s="22">
        <f t="shared" si="710"/>
        <v>10</v>
      </c>
      <c r="AC439" s="118">
        <f>ROUND(I439+mwreg!$G$44/100,3)</f>
        <v>-0.67800000000000005</v>
      </c>
      <c r="AD439" s="83">
        <f>ROUND(J439+mwreg!$G$44/100,3)</f>
        <v>1.1160000000000001</v>
      </c>
      <c r="AE439" s="83">
        <f>ROUND(K439+mwreg!$G$44/100,3)</f>
        <v>0.185</v>
      </c>
      <c r="AF439" s="100">
        <f t="shared" si="708"/>
        <v>0.17799999999999999</v>
      </c>
      <c r="AG439" s="100">
        <f t="shared" si="709"/>
        <v>5.2499999999999998E-2</v>
      </c>
      <c r="AH439" s="84">
        <f t="shared" si="673"/>
        <v>5.5E-2</v>
      </c>
      <c r="AI439" s="82">
        <f t="shared" si="674"/>
        <v>180</v>
      </c>
      <c r="AJ439" s="82">
        <f t="shared" si="675"/>
        <v>60</v>
      </c>
      <c r="AK439" s="83">
        <f t="shared" si="676"/>
        <v>1E-3</v>
      </c>
      <c r="AL439" s="82">
        <f t="shared" si="677"/>
        <v>3</v>
      </c>
      <c r="AM439" s="82">
        <f t="shared" si="678"/>
        <v>1500</v>
      </c>
      <c r="AN439" s="83">
        <f t="shared" si="679"/>
        <v>0.1</v>
      </c>
      <c r="AO439" s="188">
        <f t="shared" si="680"/>
        <v>274359</v>
      </c>
    </row>
    <row r="440" spans="1:41" x14ac:dyDescent="0.2">
      <c r="A440" s="3" t="s">
        <v>296</v>
      </c>
      <c r="B440" s="3" t="s">
        <v>296</v>
      </c>
      <c r="C440" s="55">
        <v>2088</v>
      </c>
      <c r="D440" s="79">
        <v>56.1053</v>
      </c>
      <c r="E440" s="79">
        <v>15.589399999999999</v>
      </c>
      <c r="F440" s="14">
        <v>8195</v>
      </c>
      <c r="G440" s="10">
        <v>0</v>
      </c>
      <c r="H440" s="122">
        <v>11</v>
      </c>
      <c r="I440" s="165">
        <v>-0.89400000000000002</v>
      </c>
      <c r="J440" s="11">
        <v>1.0860000000000001</v>
      </c>
      <c r="K440" s="11">
        <v>4.3999999999999997E-2</v>
      </c>
      <c r="L440" s="79">
        <v>0.21429999999999999</v>
      </c>
      <c r="M440" s="79">
        <v>6.6199999999999995E-2</v>
      </c>
      <c r="N440" s="79">
        <v>6.9000000000000006E-2</v>
      </c>
      <c r="O440" s="14">
        <v>180</v>
      </c>
      <c r="P440" s="14">
        <v>60</v>
      </c>
      <c r="Q440" s="11">
        <v>1E-3</v>
      </c>
      <c r="R440" s="14">
        <v>3</v>
      </c>
      <c r="S440" s="14">
        <v>1500</v>
      </c>
      <c r="T440" s="11">
        <v>0.1</v>
      </c>
      <c r="U440" s="122">
        <v>276691</v>
      </c>
      <c r="V440" s="35"/>
      <c r="W440" s="99">
        <f t="shared" si="668"/>
        <v>2088</v>
      </c>
      <c r="X440" s="100">
        <f t="shared" si="669"/>
        <v>56.1053</v>
      </c>
      <c r="Y440" s="100">
        <f t="shared" si="670"/>
        <v>15.589399999999999</v>
      </c>
      <c r="Z440" s="22">
        <f t="shared" si="671"/>
        <v>8195</v>
      </c>
      <c r="AA440" s="35">
        <f t="shared" si="672"/>
        <v>0</v>
      </c>
      <c r="AB440" s="22">
        <f t="shared" si="710"/>
        <v>11</v>
      </c>
      <c r="AC440" s="118">
        <f>ROUND(I440+mwreg!$G$44/100,3)</f>
        <v>-0.76100000000000001</v>
      </c>
      <c r="AD440" s="83">
        <f>ROUND(J440+mwreg!$G$44/100,3)</f>
        <v>1.2190000000000001</v>
      </c>
      <c r="AE440" s="83">
        <f>ROUND(K440+mwreg!$G$44/100,3)</f>
        <v>0.17699999999999999</v>
      </c>
      <c r="AF440" s="100">
        <f t="shared" si="708"/>
        <v>0.21429999999999999</v>
      </c>
      <c r="AG440" s="100">
        <f t="shared" si="709"/>
        <v>6.6199999999999995E-2</v>
      </c>
      <c r="AH440" s="84">
        <f t="shared" si="673"/>
        <v>6.9000000000000006E-2</v>
      </c>
      <c r="AI440" s="82">
        <f t="shared" si="674"/>
        <v>180</v>
      </c>
      <c r="AJ440" s="82">
        <f t="shared" si="675"/>
        <v>60</v>
      </c>
      <c r="AK440" s="83">
        <f t="shared" si="676"/>
        <v>1E-3</v>
      </c>
      <c r="AL440" s="82">
        <f t="shared" si="677"/>
        <v>3</v>
      </c>
      <c r="AM440" s="82">
        <f t="shared" si="678"/>
        <v>1500</v>
      </c>
      <c r="AN440" s="83">
        <f t="shared" si="679"/>
        <v>0.1</v>
      </c>
      <c r="AO440" s="188">
        <f t="shared" si="680"/>
        <v>276691</v>
      </c>
    </row>
    <row r="441" spans="1:41" x14ac:dyDescent="0.2">
      <c r="A441" s="3" t="s">
        <v>296</v>
      </c>
      <c r="B441" s="3" t="s">
        <v>296</v>
      </c>
      <c r="C441" s="55">
        <v>2088</v>
      </c>
      <c r="D441" s="79">
        <v>56.1053</v>
      </c>
      <c r="E441" s="79">
        <v>15.589399999999999</v>
      </c>
      <c r="F441" s="14">
        <v>8195</v>
      </c>
      <c r="G441" s="10">
        <v>0</v>
      </c>
      <c r="H441" s="122">
        <v>12</v>
      </c>
      <c r="I441" s="165">
        <v>-0.93500000000000005</v>
      </c>
      <c r="J441" s="11">
        <v>1.167</v>
      </c>
      <c r="K441" s="11">
        <v>6.7000000000000004E-2</v>
      </c>
      <c r="L441" s="79">
        <v>0.22040000000000001</v>
      </c>
      <c r="M441" s="79">
        <v>3.61E-2</v>
      </c>
      <c r="N441" s="79">
        <v>3.9E-2</v>
      </c>
      <c r="O441" s="14">
        <v>180</v>
      </c>
      <c r="P441" s="14">
        <v>60</v>
      </c>
      <c r="Q441" s="11">
        <v>1E-3</v>
      </c>
      <c r="R441" s="14">
        <v>3</v>
      </c>
      <c r="S441" s="14">
        <v>1500</v>
      </c>
      <c r="T441" s="11">
        <v>0.1</v>
      </c>
      <c r="U441" s="122">
        <v>278021</v>
      </c>
      <c r="V441" s="35"/>
      <c r="W441" s="99">
        <f t="shared" si="668"/>
        <v>2088</v>
      </c>
      <c r="X441" s="100">
        <f t="shared" si="669"/>
        <v>56.1053</v>
      </c>
      <c r="Y441" s="100">
        <f t="shared" si="670"/>
        <v>15.589399999999999</v>
      </c>
      <c r="Z441" s="22">
        <f t="shared" si="671"/>
        <v>8195</v>
      </c>
      <c r="AA441" s="35">
        <f t="shared" si="672"/>
        <v>0</v>
      </c>
      <c r="AB441" s="22">
        <f t="shared" si="710"/>
        <v>12</v>
      </c>
      <c r="AC441" s="118">
        <f>ROUND(I441+mwreg!$G$44/100,3)</f>
        <v>-0.80200000000000005</v>
      </c>
      <c r="AD441" s="83">
        <f>ROUND(J441+mwreg!$G$44/100,3)</f>
        <v>1.3</v>
      </c>
      <c r="AE441" s="83">
        <f>ROUND(K441+mwreg!$G$44/100,3)</f>
        <v>0.2</v>
      </c>
      <c r="AF441" s="100">
        <f t="shared" si="708"/>
        <v>0.22040000000000001</v>
      </c>
      <c r="AG441" s="100">
        <f t="shared" si="709"/>
        <v>3.61E-2</v>
      </c>
      <c r="AH441" s="84">
        <f t="shared" si="673"/>
        <v>3.9E-2</v>
      </c>
      <c r="AI441" s="82">
        <f t="shared" si="674"/>
        <v>180</v>
      </c>
      <c r="AJ441" s="82">
        <f t="shared" si="675"/>
        <v>60</v>
      </c>
      <c r="AK441" s="83">
        <f t="shared" si="676"/>
        <v>1E-3</v>
      </c>
      <c r="AL441" s="82">
        <f t="shared" si="677"/>
        <v>3</v>
      </c>
      <c r="AM441" s="82">
        <f t="shared" si="678"/>
        <v>1500</v>
      </c>
      <c r="AN441" s="83">
        <f t="shared" si="679"/>
        <v>0.1</v>
      </c>
      <c r="AO441" s="188">
        <f t="shared" si="680"/>
        <v>278021</v>
      </c>
    </row>
    <row r="442" spans="1:41" x14ac:dyDescent="0.2">
      <c r="A442" s="3" t="str">
        <f>stat_uppg!A45</f>
        <v>61/35131</v>
      </c>
      <c r="B442" s="3" t="str">
        <f>stat_uppg!B45</f>
        <v>KARLSHAMN (SJÖV)</v>
      </c>
      <c r="C442" s="52">
        <v>35131</v>
      </c>
      <c r="D442" s="105">
        <v>56.154200000000003</v>
      </c>
      <c r="E442" s="105">
        <v>14.821199999999999</v>
      </c>
      <c r="F442" s="20">
        <v>8195</v>
      </c>
      <c r="G442" s="18">
        <v>0</v>
      </c>
      <c r="H442" s="53">
        <v>1</v>
      </c>
      <c r="I442" s="167">
        <f t="shared" ref="I442:K453" si="711">ROUND(0.819*I430+0.181*I466,3)</f>
        <v>-0.92900000000000005</v>
      </c>
      <c r="J442" s="104">
        <f t="shared" si="711"/>
        <v>1.3089999999999999</v>
      </c>
      <c r="K442" s="104">
        <f t="shared" si="711"/>
        <v>0.109</v>
      </c>
      <c r="L442" s="105">
        <f>ROUND(0.819*L430+0.181*L466,4)</f>
        <v>0.24660000000000001</v>
      </c>
      <c r="M442" s="105">
        <f t="shared" ref="M442:N442" si="712">ROUND(0.819*M430+0.181*M466,4)</f>
        <v>4.4499999999999998E-2</v>
      </c>
      <c r="N442" s="105">
        <f t="shared" si="712"/>
        <v>4.7399999999999998E-2</v>
      </c>
      <c r="O442" s="20">
        <f>ROUND(0.819*O430+0.181*O466,0)</f>
        <v>180</v>
      </c>
      <c r="P442" s="20">
        <f>ROUND(0.819*P430+0.181*P466,0)</f>
        <v>60</v>
      </c>
      <c r="Q442" s="104">
        <f>ROUND(0.819*Q430+0.181*Q466,3)</f>
        <v>1E-3</v>
      </c>
      <c r="R442" s="20">
        <f>ROUND(0.819*R430+0.181*R466,0)</f>
        <v>3</v>
      </c>
      <c r="S442" s="20">
        <f>ROUND(0.819*S430+0.181*S466,0)</f>
        <v>1500</v>
      </c>
      <c r="T442" s="104">
        <f>ROUND(0.819*T430+0.181*T466,3)</f>
        <v>0.1</v>
      </c>
      <c r="U442" s="54" t="s">
        <v>282</v>
      </c>
      <c r="V442" s="21"/>
      <c r="W442" s="58">
        <f t="shared" si="668"/>
        <v>35131</v>
      </c>
      <c r="X442" s="102">
        <f t="shared" si="669"/>
        <v>56.154200000000003</v>
      </c>
      <c r="Y442" s="102">
        <f t="shared" si="670"/>
        <v>14.821199999999999</v>
      </c>
      <c r="Z442" s="21">
        <f t="shared" si="671"/>
        <v>8195</v>
      </c>
      <c r="AA442" s="44">
        <f t="shared" si="672"/>
        <v>0</v>
      </c>
      <c r="AB442" s="21">
        <f t="shared" si="710"/>
        <v>1</v>
      </c>
      <c r="AC442" s="119">
        <f>ROUND(I442+mwreg!$G$45/100,3)</f>
        <v>-0.79100000000000004</v>
      </c>
      <c r="AD442" s="108">
        <f>ROUND(J442+mwreg!$G$45/100,3)</f>
        <v>1.4470000000000001</v>
      </c>
      <c r="AE442" s="108">
        <f>ROUND(K442+mwreg!$G$45/100,3)</f>
        <v>0.247</v>
      </c>
      <c r="AF442" s="102">
        <f t="shared" si="708"/>
        <v>0.24660000000000001</v>
      </c>
      <c r="AG442" s="102">
        <f t="shared" si="709"/>
        <v>4.4499999999999998E-2</v>
      </c>
      <c r="AH442" s="109">
        <f t="shared" si="673"/>
        <v>4.7399999999999998E-2</v>
      </c>
      <c r="AI442" s="110">
        <f t="shared" si="674"/>
        <v>180</v>
      </c>
      <c r="AJ442" s="110">
        <f t="shared" si="675"/>
        <v>60</v>
      </c>
      <c r="AK442" s="108">
        <f t="shared" si="676"/>
        <v>1E-3</v>
      </c>
      <c r="AL442" s="110">
        <f t="shared" si="677"/>
        <v>3</v>
      </c>
      <c r="AM442" s="110">
        <f t="shared" si="678"/>
        <v>1500</v>
      </c>
      <c r="AN442" s="108">
        <f t="shared" si="679"/>
        <v>0.1</v>
      </c>
      <c r="AO442" s="186" t="str">
        <f t="shared" si="680"/>
        <v>NaN</v>
      </c>
    </row>
    <row r="443" spans="1:41" x14ac:dyDescent="0.2">
      <c r="A443" s="3" t="s">
        <v>296</v>
      </c>
      <c r="B443" s="3" t="s">
        <v>296</v>
      </c>
      <c r="C443" s="52">
        <v>35131</v>
      </c>
      <c r="D443" s="105">
        <v>56.154200000000003</v>
      </c>
      <c r="E443" s="105">
        <v>14.821199999999999</v>
      </c>
      <c r="F443" s="20">
        <v>8195</v>
      </c>
      <c r="G443" s="18">
        <v>0</v>
      </c>
      <c r="H443" s="53">
        <v>2</v>
      </c>
      <c r="I443" s="167">
        <f t="shared" si="711"/>
        <v>-0.94599999999999995</v>
      </c>
      <c r="J443" s="104">
        <f t="shared" si="711"/>
        <v>1.0820000000000001</v>
      </c>
      <c r="K443" s="104">
        <f t="shared" si="711"/>
        <v>5.3999999999999999E-2</v>
      </c>
      <c r="L443" s="105">
        <f t="shared" ref="L443:N453" si="713">ROUND(0.819*L431+0.181*L467,4)</f>
        <v>0.25190000000000001</v>
      </c>
      <c r="M443" s="105">
        <f t="shared" si="713"/>
        <v>3.5499999999999997E-2</v>
      </c>
      <c r="N443" s="105">
        <f t="shared" si="713"/>
        <v>3.8199999999999998E-2</v>
      </c>
      <c r="O443" s="20">
        <f t="shared" ref="O443:P443" si="714">ROUND(0.819*O431+0.181*O467,0)</f>
        <v>180</v>
      </c>
      <c r="P443" s="20">
        <f t="shared" si="714"/>
        <v>60</v>
      </c>
      <c r="Q443" s="104">
        <f t="shared" ref="Q443:Q453" si="715">ROUND(0.819*Q431+0.181*Q467,3)</f>
        <v>1E-3</v>
      </c>
      <c r="R443" s="20">
        <f t="shared" ref="R443:S443" si="716">ROUND(0.819*R431+0.181*R467,0)</f>
        <v>3</v>
      </c>
      <c r="S443" s="20">
        <f t="shared" si="716"/>
        <v>1500</v>
      </c>
      <c r="T443" s="104">
        <f t="shared" ref="T443:T453" si="717">ROUND(0.819*T431+0.181*T467,3)</f>
        <v>0.1</v>
      </c>
      <c r="U443" s="54" t="s">
        <v>282</v>
      </c>
      <c r="V443" s="21"/>
      <c r="W443" s="58">
        <f t="shared" si="668"/>
        <v>35131</v>
      </c>
      <c r="X443" s="102">
        <f t="shared" si="669"/>
        <v>56.154200000000003</v>
      </c>
      <c r="Y443" s="102">
        <f t="shared" si="670"/>
        <v>14.821199999999999</v>
      </c>
      <c r="Z443" s="21">
        <f t="shared" si="671"/>
        <v>8195</v>
      </c>
      <c r="AA443" s="44">
        <f t="shared" si="672"/>
        <v>0</v>
      </c>
      <c r="AB443" s="21">
        <f t="shared" si="710"/>
        <v>2</v>
      </c>
      <c r="AC443" s="119">
        <f>ROUND(I443+mwreg!$G$45/100,3)</f>
        <v>-0.80800000000000005</v>
      </c>
      <c r="AD443" s="108">
        <f>ROUND(J443+mwreg!$G$45/100,3)</f>
        <v>1.22</v>
      </c>
      <c r="AE443" s="108">
        <f>ROUND(K443+mwreg!$G$45/100,3)</f>
        <v>0.192</v>
      </c>
      <c r="AF443" s="102">
        <f t="shared" si="708"/>
        <v>0.25190000000000001</v>
      </c>
      <c r="AG443" s="102">
        <f t="shared" si="709"/>
        <v>3.5499999999999997E-2</v>
      </c>
      <c r="AH443" s="109">
        <f t="shared" si="673"/>
        <v>3.8199999999999998E-2</v>
      </c>
      <c r="AI443" s="110">
        <f t="shared" si="674"/>
        <v>180</v>
      </c>
      <c r="AJ443" s="110">
        <f t="shared" si="675"/>
        <v>60</v>
      </c>
      <c r="AK443" s="108">
        <f t="shared" si="676"/>
        <v>1E-3</v>
      </c>
      <c r="AL443" s="110">
        <f t="shared" si="677"/>
        <v>3</v>
      </c>
      <c r="AM443" s="110">
        <f t="shared" si="678"/>
        <v>1500</v>
      </c>
      <c r="AN443" s="108">
        <f t="shared" si="679"/>
        <v>0.1</v>
      </c>
      <c r="AO443" s="186" t="str">
        <f t="shared" si="680"/>
        <v>NaN</v>
      </c>
    </row>
    <row r="444" spans="1:41" x14ac:dyDescent="0.2">
      <c r="A444" s="3" t="s">
        <v>296</v>
      </c>
      <c r="B444" s="3" t="s">
        <v>296</v>
      </c>
      <c r="C444" s="52">
        <v>35131</v>
      </c>
      <c r="D444" s="105">
        <v>56.154200000000003</v>
      </c>
      <c r="E444" s="105">
        <v>14.821199999999999</v>
      </c>
      <c r="F444" s="20">
        <v>8195</v>
      </c>
      <c r="G444" s="18">
        <v>0</v>
      </c>
      <c r="H444" s="53">
        <v>3</v>
      </c>
      <c r="I444" s="167">
        <f t="shared" si="711"/>
        <v>-0.83099999999999996</v>
      </c>
      <c r="J444" s="104">
        <f t="shared" si="711"/>
        <v>0.91500000000000004</v>
      </c>
      <c r="K444" s="104">
        <f t="shared" si="711"/>
        <v>1E-3</v>
      </c>
      <c r="L444" s="105">
        <f t="shared" si="713"/>
        <v>0.22620000000000001</v>
      </c>
      <c r="M444" s="105">
        <f t="shared" si="713"/>
        <v>2.76E-2</v>
      </c>
      <c r="N444" s="105">
        <f t="shared" si="713"/>
        <v>3.0200000000000001E-2</v>
      </c>
      <c r="O444" s="20">
        <f t="shared" ref="O444:P444" si="718">ROUND(0.819*O432+0.181*O468,0)</f>
        <v>180</v>
      </c>
      <c r="P444" s="20">
        <f t="shared" si="718"/>
        <v>60</v>
      </c>
      <c r="Q444" s="104">
        <f t="shared" si="715"/>
        <v>1E-3</v>
      </c>
      <c r="R444" s="20">
        <f t="shared" ref="R444:S444" si="719">ROUND(0.819*R432+0.181*R468,0)</f>
        <v>3</v>
      </c>
      <c r="S444" s="20">
        <f t="shared" si="719"/>
        <v>1500</v>
      </c>
      <c r="T444" s="104">
        <f t="shared" si="717"/>
        <v>0.1</v>
      </c>
      <c r="U444" s="54" t="s">
        <v>282</v>
      </c>
      <c r="V444" s="21"/>
      <c r="W444" s="58">
        <f t="shared" si="668"/>
        <v>35131</v>
      </c>
      <c r="X444" s="102">
        <f t="shared" si="669"/>
        <v>56.154200000000003</v>
      </c>
      <c r="Y444" s="102">
        <f t="shared" si="670"/>
        <v>14.821199999999999</v>
      </c>
      <c r="Z444" s="21">
        <f t="shared" si="671"/>
        <v>8195</v>
      </c>
      <c r="AA444" s="44">
        <f t="shared" si="672"/>
        <v>0</v>
      </c>
      <c r="AB444" s="21">
        <f t="shared" si="710"/>
        <v>3</v>
      </c>
      <c r="AC444" s="119">
        <f>ROUND(I444+mwreg!$G$45/100,3)</f>
        <v>-0.69299999999999995</v>
      </c>
      <c r="AD444" s="108">
        <f>ROUND(J444+mwreg!$G$45/100,3)</f>
        <v>1.0529999999999999</v>
      </c>
      <c r="AE444" s="108">
        <f>ROUND(K444+mwreg!$G$45/100,3)</f>
        <v>0.13900000000000001</v>
      </c>
      <c r="AF444" s="102">
        <f t="shared" si="708"/>
        <v>0.22620000000000001</v>
      </c>
      <c r="AG444" s="102">
        <f t="shared" si="709"/>
        <v>2.76E-2</v>
      </c>
      <c r="AH444" s="109">
        <f t="shared" si="673"/>
        <v>3.0200000000000001E-2</v>
      </c>
      <c r="AI444" s="110">
        <f t="shared" si="674"/>
        <v>180</v>
      </c>
      <c r="AJ444" s="110">
        <f t="shared" si="675"/>
        <v>60</v>
      </c>
      <c r="AK444" s="108">
        <f t="shared" si="676"/>
        <v>1E-3</v>
      </c>
      <c r="AL444" s="110">
        <f t="shared" si="677"/>
        <v>3</v>
      </c>
      <c r="AM444" s="110">
        <f t="shared" si="678"/>
        <v>1500</v>
      </c>
      <c r="AN444" s="108">
        <f t="shared" si="679"/>
        <v>0.1</v>
      </c>
      <c r="AO444" s="186" t="str">
        <f t="shared" si="680"/>
        <v>NaN</v>
      </c>
    </row>
    <row r="445" spans="1:41" x14ac:dyDescent="0.2">
      <c r="A445" s="3" t="s">
        <v>296</v>
      </c>
      <c r="B445" s="3" t="s">
        <v>296</v>
      </c>
      <c r="C445" s="52">
        <v>35131</v>
      </c>
      <c r="D445" s="105">
        <v>56.154200000000003</v>
      </c>
      <c r="E445" s="105">
        <v>14.821199999999999</v>
      </c>
      <c r="F445" s="20">
        <v>8195</v>
      </c>
      <c r="G445" s="18">
        <v>0</v>
      </c>
      <c r="H445" s="53">
        <v>4</v>
      </c>
      <c r="I445" s="167">
        <f t="shared" si="711"/>
        <v>-0.67400000000000004</v>
      </c>
      <c r="J445" s="104">
        <f t="shared" si="711"/>
        <v>0.878</v>
      </c>
      <c r="K445" s="104">
        <f t="shared" si="711"/>
        <v>-5.7000000000000002E-2</v>
      </c>
      <c r="L445" s="105">
        <f t="shared" si="713"/>
        <v>0.15570000000000001</v>
      </c>
      <c r="M445" s="105">
        <f t="shared" si="713"/>
        <v>5.1499999999999997E-2</v>
      </c>
      <c r="N445" s="105">
        <f t="shared" si="713"/>
        <v>5.3900000000000003E-2</v>
      </c>
      <c r="O445" s="20">
        <f t="shared" ref="O445:P445" si="720">ROUND(0.819*O433+0.181*O469,0)</f>
        <v>180</v>
      </c>
      <c r="P445" s="20">
        <f t="shared" si="720"/>
        <v>60</v>
      </c>
      <c r="Q445" s="104">
        <f t="shared" si="715"/>
        <v>1E-3</v>
      </c>
      <c r="R445" s="20">
        <f t="shared" ref="R445:S445" si="721">ROUND(0.819*R433+0.181*R469,0)</f>
        <v>3</v>
      </c>
      <c r="S445" s="20">
        <f t="shared" si="721"/>
        <v>1500</v>
      </c>
      <c r="T445" s="104">
        <f t="shared" si="717"/>
        <v>0.1</v>
      </c>
      <c r="U445" s="54" t="s">
        <v>282</v>
      </c>
      <c r="V445" s="21"/>
      <c r="W445" s="58">
        <f t="shared" si="668"/>
        <v>35131</v>
      </c>
      <c r="X445" s="102">
        <f t="shared" si="669"/>
        <v>56.154200000000003</v>
      </c>
      <c r="Y445" s="102">
        <f t="shared" si="670"/>
        <v>14.821199999999999</v>
      </c>
      <c r="Z445" s="21">
        <f t="shared" si="671"/>
        <v>8195</v>
      </c>
      <c r="AA445" s="44">
        <f t="shared" si="672"/>
        <v>0</v>
      </c>
      <c r="AB445" s="21">
        <f t="shared" si="710"/>
        <v>4</v>
      </c>
      <c r="AC445" s="119">
        <f>ROUND(I445+mwreg!$G$45/100,3)</f>
        <v>-0.53600000000000003</v>
      </c>
      <c r="AD445" s="108">
        <f>ROUND(J445+mwreg!$G$45/100,3)</f>
        <v>1.016</v>
      </c>
      <c r="AE445" s="108">
        <f>ROUND(K445+mwreg!$G$45/100,3)</f>
        <v>8.1000000000000003E-2</v>
      </c>
      <c r="AF445" s="102">
        <f t="shared" si="708"/>
        <v>0.15570000000000001</v>
      </c>
      <c r="AG445" s="102">
        <f t="shared" si="709"/>
        <v>5.1499999999999997E-2</v>
      </c>
      <c r="AH445" s="109">
        <f t="shared" si="673"/>
        <v>5.3900000000000003E-2</v>
      </c>
      <c r="AI445" s="110">
        <f t="shared" si="674"/>
        <v>180</v>
      </c>
      <c r="AJ445" s="110">
        <f t="shared" si="675"/>
        <v>60</v>
      </c>
      <c r="AK445" s="108">
        <f t="shared" si="676"/>
        <v>1E-3</v>
      </c>
      <c r="AL445" s="110">
        <f t="shared" si="677"/>
        <v>3</v>
      </c>
      <c r="AM445" s="110">
        <f t="shared" si="678"/>
        <v>1500</v>
      </c>
      <c r="AN445" s="108">
        <f t="shared" si="679"/>
        <v>0.1</v>
      </c>
      <c r="AO445" s="186" t="str">
        <f t="shared" si="680"/>
        <v>NaN</v>
      </c>
    </row>
    <row r="446" spans="1:41" x14ac:dyDescent="0.2">
      <c r="A446" s="3" t="s">
        <v>296</v>
      </c>
      <c r="B446" s="3" t="s">
        <v>296</v>
      </c>
      <c r="C446" s="52">
        <v>35131</v>
      </c>
      <c r="D446" s="105">
        <v>56.154200000000003</v>
      </c>
      <c r="E446" s="105">
        <v>14.821199999999999</v>
      </c>
      <c r="F446" s="20">
        <v>8195</v>
      </c>
      <c r="G446" s="18">
        <v>0</v>
      </c>
      <c r="H446" s="53">
        <v>5</v>
      </c>
      <c r="I446" s="167">
        <f t="shared" si="711"/>
        <v>-0.55800000000000005</v>
      </c>
      <c r="J446" s="104">
        <f t="shared" si="711"/>
        <v>0.38200000000000001</v>
      </c>
      <c r="K446" s="104">
        <f t="shared" si="711"/>
        <v>-4.9000000000000002E-2</v>
      </c>
      <c r="L446" s="105">
        <f t="shared" si="713"/>
        <v>0.1229</v>
      </c>
      <c r="M446" s="105">
        <f t="shared" si="713"/>
        <v>4.87E-2</v>
      </c>
      <c r="N446" s="105">
        <f t="shared" si="713"/>
        <v>5.11E-2</v>
      </c>
      <c r="O446" s="20">
        <f t="shared" ref="O446:P446" si="722">ROUND(0.819*O434+0.181*O470,0)</f>
        <v>180</v>
      </c>
      <c r="P446" s="20">
        <f t="shared" si="722"/>
        <v>60</v>
      </c>
      <c r="Q446" s="104">
        <f t="shared" si="715"/>
        <v>1E-3</v>
      </c>
      <c r="R446" s="20">
        <f t="shared" ref="R446:S446" si="723">ROUND(0.819*R434+0.181*R470,0)</f>
        <v>3</v>
      </c>
      <c r="S446" s="20">
        <f t="shared" si="723"/>
        <v>1500</v>
      </c>
      <c r="T446" s="104">
        <f t="shared" si="717"/>
        <v>0.1</v>
      </c>
      <c r="U446" s="54" t="s">
        <v>282</v>
      </c>
      <c r="V446" s="21"/>
      <c r="W446" s="58">
        <f t="shared" si="668"/>
        <v>35131</v>
      </c>
      <c r="X446" s="102">
        <f t="shared" si="669"/>
        <v>56.154200000000003</v>
      </c>
      <c r="Y446" s="102">
        <f t="shared" si="670"/>
        <v>14.821199999999999</v>
      </c>
      <c r="Z446" s="21">
        <f t="shared" si="671"/>
        <v>8195</v>
      </c>
      <c r="AA446" s="44">
        <f t="shared" si="672"/>
        <v>0</v>
      </c>
      <c r="AB446" s="21">
        <f t="shared" si="710"/>
        <v>5</v>
      </c>
      <c r="AC446" s="119">
        <f>ROUND(I446+mwreg!$G$45/100,3)</f>
        <v>-0.42</v>
      </c>
      <c r="AD446" s="108">
        <f>ROUND(J446+mwreg!$G$45/100,3)</f>
        <v>0.52</v>
      </c>
      <c r="AE446" s="108">
        <f>ROUND(K446+mwreg!$G$45/100,3)</f>
        <v>8.8999999999999996E-2</v>
      </c>
      <c r="AF446" s="102">
        <f t="shared" si="708"/>
        <v>0.1229</v>
      </c>
      <c r="AG446" s="102">
        <f t="shared" si="709"/>
        <v>4.87E-2</v>
      </c>
      <c r="AH446" s="109">
        <f t="shared" si="673"/>
        <v>5.11E-2</v>
      </c>
      <c r="AI446" s="110">
        <f t="shared" si="674"/>
        <v>180</v>
      </c>
      <c r="AJ446" s="110">
        <f t="shared" si="675"/>
        <v>60</v>
      </c>
      <c r="AK446" s="108">
        <f t="shared" si="676"/>
        <v>1E-3</v>
      </c>
      <c r="AL446" s="110">
        <f t="shared" si="677"/>
        <v>3</v>
      </c>
      <c r="AM446" s="110">
        <f t="shared" si="678"/>
        <v>1500</v>
      </c>
      <c r="AN446" s="108">
        <f t="shared" si="679"/>
        <v>0.1</v>
      </c>
      <c r="AO446" s="186" t="str">
        <f t="shared" si="680"/>
        <v>NaN</v>
      </c>
    </row>
    <row r="447" spans="1:41" x14ac:dyDescent="0.2">
      <c r="A447" s="3" t="s">
        <v>296</v>
      </c>
      <c r="B447" s="3" t="s">
        <v>296</v>
      </c>
      <c r="C447" s="52">
        <v>35131</v>
      </c>
      <c r="D447" s="105">
        <v>56.154200000000003</v>
      </c>
      <c r="E447" s="105">
        <v>14.821199999999999</v>
      </c>
      <c r="F447" s="20">
        <v>8195</v>
      </c>
      <c r="G447" s="18">
        <v>0</v>
      </c>
      <c r="H447" s="53">
        <v>6</v>
      </c>
      <c r="I447" s="167">
        <f t="shared" si="711"/>
        <v>-0.52100000000000002</v>
      </c>
      <c r="J447" s="104">
        <f t="shared" si="711"/>
        <v>0.439</v>
      </c>
      <c r="K447" s="104">
        <f t="shared" si="711"/>
        <v>-2.3E-2</v>
      </c>
      <c r="L447" s="105">
        <f t="shared" si="713"/>
        <v>0.1079</v>
      </c>
      <c r="M447" s="105">
        <f t="shared" si="713"/>
        <v>5.4199999999999998E-2</v>
      </c>
      <c r="N447" s="105">
        <f t="shared" si="713"/>
        <v>5.6500000000000002E-2</v>
      </c>
      <c r="O447" s="20">
        <f t="shared" ref="O447:P447" si="724">ROUND(0.819*O435+0.181*O471,0)</f>
        <v>180</v>
      </c>
      <c r="P447" s="20">
        <f t="shared" si="724"/>
        <v>60</v>
      </c>
      <c r="Q447" s="104">
        <f t="shared" si="715"/>
        <v>1E-3</v>
      </c>
      <c r="R447" s="20">
        <f t="shared" ref="R447:S447" si="725">ROUND(0.819*R435+0.181*R471,0)</f>
        <v>3</v>
      </c>
      <c r="S447" s="20">
        <f t="shared" si="725"/>
        <v>1500</v>
      </c>
      <c r="T447" s="104">
        <f t="shared" si="717"/>
        <v>0.1</v>
      </c>
      <c r="U447" s="54" t="s">
        <v>282</v>
      </c>
      <c r="V447" s="21"/>
      <c r="W447" s="58">
        <f t="shared" si="668"/>
        <v>35131</v>
      </c>
      <c r="X447" s="102">
        <f t="shared" si="669"/>
        <v>56.154200000000003</v>
      </c>
      <c r="Y447" s="102">
        <f t="shared" si="670"/>
        <v>14.821199999999999</v>
      </c>
      <c r="Z447" s="21">
        <f t="shared" si="671"/>
        <v>8195</v>
      </c>
      <c r="AA447" s="44">
        <f t="shared" si="672"/>
        <v>0</v>
      </c>
      <c r="AB447" s="21">
        <f t="shared" si="710"/>
        <v>6</v>
      </c>
      <c r="AC447" s="119">
        <f>ROUND(I447+mwreg!$G$45/100,3)</f>
        <v>-0.38300000000000001</v>
      </c>
      <c r="AD447" s="108">
        <f>ROUND(J447+mwreg!$G$45/100,3)</f>
        <v>0.57699999999999996</v>
      </c>
      <c r="AE447" s="108">
        <f>ROUND(K447+mwreg!$G$45/100,3)</f>
        <v>0.115</v>
      </c>
      <c r="AF447" s="102">
        <f t="shared" si="708"/>
        <v>0.1079</v>
      </c>
      <c r="AG447" s="102">
        <f t="shared" si="709"/>
        <v>5.4199999999999998E-2</v>
      </c>
      <c r="AH447" s="109">
        <f t="shared" si="673"/>
        <v>5.6500000000000002E-2</v>
      </c>
      <c r="AI447" s="110">
        <f t="shared" si="674"/>
        <v>180</v>
      </c>
      <c r="AJ447" s="110">
        <f t="shared" si="675"/>
        <v>60</v>
      </c>
      <c r="AK447" s="108">
        <f t="shared" si="676"/>
        <v>1E-3</v>
      </c>
      <c r="AL447" s="110">
        <f t="shared" si="677"/>
        <v>3</v>
      </c>
      <c r="AM447" s="110">
        <f t="shared" si="678"/>
        <v>1500</v>
      </c>
      <c r="AN447" s="108">
        <f t="shared" si="679"/>
        <v>0.1</v>
      </c>
      <c r="AO447" s="186" t="str">
        <f t="shared" si="680"/>
        <v>NaN</v>
      </c>
    </row>
    <row r="448" spans="1:41" x14ac:dyDescent="0.2">
      <c r="A448" s="3" t="s">
        <v>296</v>
      </c>
      <c r="B448" s="3" t="s">
        <v>296</v>
      </c>
      <c r="C448" s="52">
        <v>35131</v>
      </c>
      <c r="D448" s="105">
        <v>56.154200000000003</v>
      </c>
      <c r="E448" s="105">
        <v>14.821199999999999</v>
      </c>
      <c r="F448" s="20">
        <v>8195</v>
      </c>
      <c r="G448" s="18">
        <v>0</v>
      </c>
      <c r="H448" s="53">
        <v>7</v>
      </c>
      <c r="I448" s="167">
        <f t="shared" si="711"/>
        <v>-0.49</v>
      </c>
      <c r="J448" s="104">
        <f t="shared" si="711"/>
        <v>0.47899999999999998</v>
      </c>
      <c r="K448" s="104">
        <f t="shared" si="711"/>
        <v>6.7000000000000004E-2</v>
      </c>
      <c r="L448" s="105">
        <f t="shared" si="713"/>
        <v>0.1111</v>
      </c>
      <c r="M448" s="105">
        <f t="shared" si="713"/>
        <v>6.4799999999999996E-2</v>
      </c>
      <c r="N448" s="105">
        <f t="shared" si="713"/>
        <v>6.7100000000000007E-2</v>
      </c>
      <c r="O448" s="20">
        <f t="shared" ref="O448:P448" si="726">ROUND(0.819*O436+0.181*O472,0)</f>
        <v>180</v>
      </c>
      <c r="P448" s="20">
        <f t="shared" si="726"/>
        <v>60</v>
      </c>
      <c r="Q448" s="104">
        <f t="shared" si="715"/>
        <v>1E-3</v>
      </c>
      <c r="R448" s="20">
        <f t="shared" ref="R448:S448" si="727">ROUND(0.819*R436+0.181*R472,0)</f>
        <v>3</v>
      </c>
      <c r="S448" s="20">
        <f t="shared" si="727"/>
        <v>1500</v>
      </c>
      <c r="T448" s="104">
        <f t="shared" si="717"/>
        <v>0.1</v>
      </c>
      <c r="U448" s="54" t="s">
        <v>282</v>
      </c>
      <c r="V448" s="21"/>
      <c r="W448" s="58">
        <f t="shared" si="668"/>
        <v>35131</v>
      </c>
      <c r="X448" s="102">
        <f t="shared" si="669"/>
        <v>56.154200000000003</v>
      </c>
      <c r="Y448" s="102">
        <f t="shared" si="670"/>
        <v>14.821199999999999</v>
      </c>
      <c r="Z448" s="21">
        <f t="shared" si="671"/>
        <v>8195</v>
      </c>
      <c r="AA448" s="44">
        <f t="shared" si="672"/>
        <v>0</v>
      </c>
      <c r="AB448" s="21">
        <f t="shared" si="710"/>
        <v>7</v>
      </c>
      <c r="AC448" s="119">
        <f>ROUND(I448+mwreg!$G$45/100,3)</f>
        <v>-0.35199999999999998</v>
      </c>
      <c r="AD448" s="108">
        <f>ROUND(J448+mwreg!$G$45/100,3)</f>
        <v>0.61699999999999999</v>
      </c>
      <c r="AE448" s="108">
        <f>ROUND(K448+mwreg!$G$45/100,3)</f>
        <v>0.20499999999999999</v>
      </c>
      <c r="AF448" s="102">
        <f t="shared" si="708"/>
        <v>0.1111</v>
      </c>
      <c r="AG448" s="102">
        <f t="shared" si="709"/>
        <v>6.4799999999999996E-2</v>
      </c>
      <c r="AH448" s="109">
        <f t="shared" si="673"/>
        <v>6.7100000000000007E-2</v>
      </c>
      <c r="AI448" s="110">
        <f t="shared" si="674"/>
        <v>180</v>
      </c>
      <c r="AJ448" s="110">
        <f t="shared" si="675"/>
        <v>60</v>
      </c>
      <c r="AK448" s="108">
        <f t="shared" si="676"/>
        <v>1E-3</v>
      </c>
      <c r="AL448" s="110">
        <f t="shared" si="677"/>
        <v>3</v>
      </c>
      <c r="AM448" s="110">
        <f t="shared" si="678"/>
        <v>1500</v>
      </c>
      <c r="AN448" s="108">
        <f t="shared" si="679"/>
        <v>0.1</v>
      </c>
      <c r="AO448" s="186" t="str">
        <f t="shared" si="680"/>
        <v>NaN</v>
      </c>
    </row>
    <row r="449" spans="1:41" x14ac:dyDescent="0.2">
      <c r="A449" s="3" t="s">
        <v>296</v>
      </c>
      <c r="B449" s="3" t="s">
        <v>296</v>
      </c>
      <c r="C449" s="52">
        <v>35131</v>
      </c>
      <c r="D449" s="105">
        <v>56.154200000000003</v>
      </c>
      <c r="E449" s="105">
        <v>14.821199999999999</v>
      </c>
      <c r="F449" s="20">
        <v>8195</v>
      </c>
      <c r="G449" s="18">
        <v>0</v>
      </c>
      <c r="H449" s="53">
        <v>8</v>
      </c>
      <c r="I449" s="167">
        <f t="shared" si="711"/>
        <v>-0.502</v>
      </c>
      <c r="J449" s="104">
        <f t="shared" si="711"/>
        <v>0.54500000000000004</v>
      </c>
      <c r="K449" s="104">
        <f t="shared" si="711"/>
        <v>3.5000000000000003E-2</v>
      </c>
      <c r="L449" s="105">
        <f t="shared" si="713"/>
        <v>0.1124</v>
      </c>
      <c r="M449" s="105">
        <f t="shared" si="713"/>
        <v>4.82E-2</v>
      </c>
      <c r="N449" s="105">
        <f t="shared" si="713"/>
        <v>5.0599999999999999E-2</v>
      </c>
      <c r="O449" s="20">
        <f t="shared" ref="O449:P449" si="728">ROUND(0.819*O437+0.181*O473,0)</f>
        <v>180</v>
      </c>
      <c r="P449" s="20">
        <f t="shared" si="728"/>
        <v>60</v>
      </c>
      <c r="Q449" s="104">
        <f t="shared" si="715"/>
        <v>1E-3</v>
      </c>
      <c r="R449" s="20">
        <f t="shared" ref="R449:S449" si="729">ROUND(0.819*R437+0.181*R473,0)</f>
        <v>3</v>
      </c>
      <c r="S449" s="20">
        <f t="shared" si="729"/>
        <v>1500</v>
      </c>
      <c r="T449" s="104">
        <f t="shared" si="717"/>
        <v>0.1</v>
      </c>
      <c r="U449" s="54" t="s">
        <v>282</v>
      </c>
      <c r="V449" s="21"/>
      <c r="W449" s="58">
        <f t="shared" si="668"/>
        <v>35131</v>
      </c>
      <c r="X449" s="102">
        <f t="shared" si="669"/>
        <v>56.154200000000003</v>
      </c>
      <c r="Y449" s="102">
        <f t="shared" si="670"/>
        <v>14.821199999999999</v>
      </c>
      <c r="Z449" s="21">
        <f t="shared" si="671"/>
        <v>8195</v>
      </c>
      <c r="AA449" s="44">
        <f t="shared" si="672"/>
        <v>0</v>
      </c>
      <c r="AB449" s="21">
        <f t="shared" si="710"/>
        <v>8</v>
      </c>
      <c r="AC449" s="119">
        <f>ROUND(I449+mwreg!$G$45/100,3)</f>
        <v>-0.36399999999999999</v>
      </c>
      <c r="AD449" s="108">
        <f>ROUND(J449+mwreg!$G$45/100,3)</f>
        <v>0.68300000000000005</v>
      </c>
      <c r="AE449" s="108">
        <f>ROUND(K449+mwreg!$G$45/100,3)</f>
        <v>0.17299999999999999</v>
      </c>
      <c r="AF449" s="102">
        <f t="shared" si="708"/>
        <v>0.1124</v>
      </c>
      <c r="AG449" s="102">
        <f t="shared" si="709"/>
        <v>4.82E-2</v>
      </c>
      <c r="AH449" s="109">
        <f t="shared" si="673"/>
        <v>5.0599999999999999E-2</v>
      </c>
      <c r="AI449" s="110">
        <f t="shared" si="674"/>
        <v>180</v>
      </c>
      <c r="AJ449" s="110">
        <f t="shared" si="675"/>
        <v>60</v>
      </c>
      <c r="AK449" s="108">
        <f t="shared" si="676"/>
        <v>1E-3</v>
      </c>
      <c r="AL449" s="110">
        <f t="shared" si="677"/>
        <v>3</v>
      </c>
      <c r="AM449" s="110">
        <f t="shared" si="678"/>
        <v>1500</v>
      </c>
      <c r="AN449" s="108">
        <f t="shared" si="679"/>
        <v>0.1</v>
      </c>
      <c r="AO449" s="186" t="str">
        <f t="shared" si="680"/>
        <v>NaN</v>
      </c>
    </row>
    <row r="450" spans="1:41" x14ac:dyDescent="0.2">
      <c r="A450" s="3" t="s">
        <v>296</v>
      </c>
      <c r="B450" s="3" t="s">
        <v>296</v>
      </c>
      <c r="C450" s="52">
        <v>35131</v>
      </c>
      <c r="D450" s="105">
        <v>56.154200000000003</v>
      </c>
      <c r="E450" s="105">
        <v>14.821199999999999</v>
      </c>
      <c r="F450" s="20">
        <v>8195</v>
      </c>
      <c r="G450" s="18">
        <v>0</v>
      </c>
      <c r="H450" s="53">
        <v>9</v>
      </c>
      <c r="I450" s="167">
        <f t="shared" si="711"/>
        <v>-0.72299999999999998</v>
      </c>
      <c r="J450" s="104">
        <f t="shared" si="711"/>
        <v>0.90400000000000003</v>
      </c>
      <c r="K450" s="104">
        <f t="shared" si="711"/>
        <v>7.0000000000000007E-2</v>
      </c>
      <c r="L450" s="105">
        <f t="shared" si="713"/>
        <v>0.14929999999999999</v>
      </c>
      <c r="M450" s="105">
        <f t="shared" si="713"/>
        <v>4.2500000000000003E-2</v>
      </c>
      <c r="N450" s="105">
        <f t="shared" si="713"/>
        <v>4.4699999999999997E-2</v>
      </c>
      <c r="O450" s="20">
        <f t="shared" ref="O450:P450" si="730">ROUND(0.819*O438+0.181*O474,0)</f>
        <v>180</v>
      </c>
      <c r="P450" s="20">
        <f t="shared" si="730"/>
        <v>60</v>
      </c>
      <c r="Q450" s="104">
        <f t="shared" si="715"/>
        <v>1E-3</v>
      </c>
      <c r="R450" s="20">
        <f t="shared" ref="R450:S450" si="731">ROUND(0.819*R438+0.181*R474,0)</f>
        <v>3</v>
      </c>
      <c r="S450" s="20">
        <f t="shared" si="731"/>
        <v>1500</v>
      </c>
      <c r="T450" s="104">
        <f t="shared" si="717"/>
        <v>0.1</v>
      </c>
      <c r="U450" s="54" t="s">
        <v>282</v>
      </c>
      <c r="V450" s="21"/>
      <c r="W450" s="58">
        <f t="shared" ref="W450:W513" si="732">C450</f>
        <v>35131</v>
      </c>
      <c r="X450" s="102">
        <f t="shared" ref="X450:X513" si="733">D450</f>
        <v>56.154200000000003</v>
      </c>
      <c r="Y450" s="102">
        <f t="shared" ref="Y450:Y513" si="734">E450</f>
        <v>14.821199999999999</v>
      </c>
      <c r="Z450" s="21">
        <f t="shared" ref="Z450:Z513" si="735">F450</f>
        <v>8195</v>
      </c>
      <c r="AA450" s="44">
        <f t="shared" ref="AA450:AA513" si="736">G450</f>
        <v>0</v>
      </c>
      <c r="AB450" s="21">
        <f t="shared" si="710"/>
        <v>9</v>
      </c>
      <c r="AC450" s="119">
        <f>ROUND(I450+mwreg!$G$45/100,3)</f>
        <v>-0.58499999999999996</v>
      </c>
      <c r="AD450" s="108">
        <f>ROUND(J450+mwreg!$G$45/100,3)</f>
        <v>1.042</v>
      </c>
      <c r="AE450" s="108">
        <f>ROUND(K450+mwreg!$G$45/100,3)</f>
        <v>0.20799999999999999</v>
      </c>
      <c r="AF450" s="102">
        <f t="shared" si="708"/>
        <v>0.14929999999999999</v>
      </c>
      <c r="AG450" s="102">
        <f t="shared" si="709"/>
        <v>4.2500000000000003E-2</v>
      </c>
      <c r="AH450" s="109">
        <f t="shared" si="673"/>
        <v>4.4699999999999997E-2</v>
      </c>
      <c r="AI450" s="110">
        <f t="shared" si="674"/>
        <v>180</v>
      </c>
      <c r="AJ450" s="110">
        <f t="shared" si="675"/>
        <v>60</v>
      </c>
      <c r="AK450" s="108">
        <f t="shared" si="676"/>
        <v>1E-3</v>
      </c>
      <c r="AL450" s="110">
        <f t="shared" si="677"/>
        <v>3</v>
      </c>
      <c r="AM450" s="110">
        <f t="shared" si="678"/>
        <v>1500</v>
      </c>
      <c r="AN450" s="108">
        <f t="shared" si="679"/>
        <v>0.1</v>
      </c>
      <c r="AO450" s="186" t="str">
        <f t="shared" si="680"/>
        <v>NaN</v>
      </c>
    </row>
    <row r="451" spans="1:41" x14ac:dyDescent="0.2">
      <c r="A451" s="3" t="s">
        <v>296</v>
      </c>
      <c r="B451" s="3" t="s">
        <v>296</v>
      </c>
      <c r="C451" s="52">
        <v>35131</v>
      </c>
      <c r="D451" s="105">
        <v>56.154200000000003</v>
      </c>
      <c r="E451" s="105">
        <v>14.821199999999999</v>
      </c>
      <c r="F451" s="20">
        <v>8195</v>
      </c>
      <c r="G451" s="18">
        <v>0</v>
      </c>
      <c r="H451" s="53">
        <v>10</v>
      </c>
      <c r="I451" s="167">
        <f t="shared" si="711"/>
        <v>-0.84599999999999997</v>
      </c>
      <c r="J451" s="104">
        <f t="shared" si="711"/>
        <v>0.96</v>
      </c>
      <c r="K451" s="104">
        <f t="shared" si="711"/>
        <v>4.8000000000000001E-2</v>
      </c>
      <c r="L451" s="105">
        <f t="shared" si="713"/>
        <v>0.18</v>
      </c>
      <c r="M451" s="105">
        <f t="shared" si="713"/>
        <v>5.1400000000000001E-2</v>
      </c>
      <c r="N451" s="105">
        <f t="shared" si="713"/>
        <v>5.4100000000000002E-2</v>
      </c>
      <c r="O451" s="20">
        <f t="shared" ref="O451:P451" si="737">ROUND(0.819*O439+0.181*O475,0)</f>
        <v>180</v>
      </c>
      <c r="P451" s="20">
        <f t="shared" si="737"/>
        <v>60</v>
      </c>
      <c r="Q451" s="104">
        <f t="shared" si="715"/>
        <v>1E-3</v>
      </c>
      <c r="R451" s="20">
        <f t="shared" ref="R451:S451" si="738">ROUND(0.819*R439+0.181*R475,0)</f>
        <v>3</v>
      </c>
      <c r="S451" s="20">
        <f t="shared" si="738"/>
        <v>1500</v>
      </c>
      <c r="T451" s="104">
        <f t="shared" si="717"/>
        <v>0.1</v>
      </c>
      <c r="U451" s="54" t="s">
        <v>282</v>
      </c>
      <c r="V451" s="21"/>
      <c r="W451" s="58">
        <f t="shared" si="732"/>
        <v>35131</v>
      </c>
      <c r="X451" s="102">
        <f t="shared" si="733"/>
        <v>56.154200000000003</v>
      </c>
      <c r="Y451" s="102">
        <f t="shared" si="734"/>
        <v>14.821199999999999</v>
      </c>
      <c r="Z451" s="21">
        <f t="shared" si="735"/>
        <v>8195</v>
      </c>
      <c r="AA451" s="44">
        <f t="shared" si="736"/>
        <v>0</v>
      </c>
      <c r="AB451" s="21">
        <f t="shared" si="710"/>
        <v>10</v>
      </c>
      <c r="AC451" s="119">
        <f>ROUND(I451+mwreg!$G$45/100,3)</f>
        <v>-0.70799999999999996</v>
      </c>
      <c r="AD451" s="108">
        <f>ROUND(J451+mwreg!$G$45/100,3)</f>
        <v>1.0980000000000001</v>
      </c>
      <c r="AE451" s="108">
        <f>ROUND(K451+mwreg!$G$45/100,3)</f>
        <v>0.186</v>
      </c>
      <c r="AF451" s="102">
        <f t="shared" si="708"/>
        <v>0.18</v>
      </c>
      <c r="AG451" s="102">
        <f t="shared" si="709"/>
        <v>5.1400000000000001E-2</v>
      </c>
      <c r="AH451" s="109">
        <f t="shared" si="673"/>
        <v>5.4100000000000002E-2</v>
      </c>
      <c r="AI451" s="110">
        <f t="shared" si="674"/>
        <v>180</v>
      </c>
      <c r="AJ451" s="110">
        <f t="shared" si="675"/>
        <v>60</v>
      </c>
      <c r="AK451" s="108">
        <f t="shared" si="676"/>
        <v>1E-3</v>
      </c>
      <c r="AL451" s="110">
        <f t="shared" si="677"/>
        <v>3</v>
      </c>
      <c r="AM451" s="110">
        <f t="shared" si="678"/>
        <v>1500</v>
      </c>
      <c r="AN451" s="108">
        <f t="shared" si="679"/>
        <v>0.1</v>
      </c>
      <c r="AO451" s="186" t="str">
        <f t="shared" si="680"/>
        <v>NaN</v>
      </c>
    </row>
    <row r="452" spans="1:41" x14ac:dyDescent="0.2">
      <c r="A452" s="3" t="s">
        <v>296</v>
      </c>
      <c r="B452" s="3" t="s">
        <v>296</v>
      </c>
      <c r="C452" s="52">
        <v>35131</v>
      </c>
      <c r="D452" s="105">
        <v>56.154200000000003</v>
      </c>
      <c r="E452" s="105">
        <v>14.821199999999999</v>
      </c>
      <c r="F452" s="20">
        <v>8195</v>
      </c>
      <c r="G452" s="18">
        <v>0</v>
      </c>
      <c r="H452" s="53">
        <v>11</v>
      </c>
      <c r="I452" s="167">
        <f t="shared" si="711"/>
        <v>-0.91700000000000004</v>
      </c>
      <c r="J452" s="104">
        <f t="shared" si="711"/>
        <v>1.0880000000000001</v>
      </c>
      <c r="K452" s="104">
        <f t="shared" si="711"/>
        <v>4.3999999999999997E-2</v>
      </c>
      <c r="L452" s="105">
        <f t="shared" si="713"/>
        <v>0.21410000000000001</v>
      </c>
      <c r="M452" s="105">
        <f t="shared" si="713"/>
        <v>9.0800000000000006E-2</v>
      </c>
      <c r="N452" s="105">
        <f t="shared" si="713"/>
        <v>9.3799999999999994E-2</v>
      </c>
      <c r="O452" s="20">
        <f t="shared" ref="O452:P452" si="739">ROUND(0.819*O440+0.181*O476,0)</f>
        <v>180</v>
      </c>
      <c r="P452" s="20">
        <f t="shared" si="739"/>
        <v>60</v>
      </c>
      <c r="Q452" s="104">
        <f t="shared" si="715"/>
        <v>1E-3</v>
      </c>
      <c r="R452" s="20">
        <f t="shared" ref="R452:S452" si="740">ROUND(0.819*R440+0.181*R476,0)</f>
        <v>3</v>
      </c>
      <c r="S452" s="20">
        <f t="shared" si="740"/>
        <v>1500</v>
      </c>
      <c r="T452" s="104">
        <f t="shared" si="717"/>
        <v>0.1</v>
      </c>
      <c r="U452" s="54" t="s">
        <v>282</v>
      </c>
      <c r="V452" s="21"/>
      <c r="W452" s="58">
        <f t="shared" si="732"/>
        <v>35131</v>
      </c>
      <c r="X452" s="102">
        <f t="shared" si="733"/>
        <v>56.154200000000003</v>
      </c>
      <c r="Y452" s="102">
        <f t="shared" si="734"/>
        <v>14.821199999999999</v>
      </c>
      <c r="Z452" s="21">
        <f t="shared" si="735"/>
        <v>8195</v>
      </c>
      <c r="AA452" s="44">
        <f t="shared" si="736"/>
        <v>0</v>
      </c>
      <c r="AB452" s="21">
        <f t="shared" si="710"/>
        <v>11</v>
      </c>
      <c r="AC452" s="119">
        <f>ROUND(I452+mwreg!$G$45/100,3)</f>
        <v>-0.77900000000000003</v>
      </c>
      <c r="AD452" s="108">
        <f>ROUND(J452+mwreg!$G$45/100,3)</f>
        <v>1.226</v>
      </c>
      <c r="AE452" s="108">
        <f>ROUND(K452+mwreg!$G$45/100,3)</f>
        <v>0.182</v>
      </c>
      <c r="AF452" s="102">
        <f t="shared" si="708"/>
        <v>0.21410000000000001</v>
      </c>
      <c r="AG452" s="102">
        <f t="shared" si="709"/>
        <v>9.0800000000000006E-2</v>
      </c>
      <c r="AH452" s="109">
        <f t="shared" si="673"/>
        <v>9.3799999999999994E-2</v>
      </c>
      <c r="AI452" s="110">
        <f t="shared" si="674"/>
        <v>180</v>
      </c>
      <c r="AJ452" s="110">
        <f t="shared" si="675"/>
        <v>60</v>
      </c>
      <c r="AK452" s="108">
        <f t="shared" si="676"/>
        <v>1E-3</v>
      </c>
      <c r="AL452" s="110">
        <f t="shared" si="677"/>
        <v>3</v>
      </c>
      <c r="AM452" s="110">
        <f t="shared" si="678"/>
        <v>1500</v>
      </c>
      <c r="AN452" s="108">
        <f t="shared" si="679"/>
        <v>0.1</v>
      </c>
      <c r="AO452" s="186" t="str">
        <f t="shared" si="680"/>
        <v>NaN</v>
      </c>
    </row>
    <row r="453" spans="1:41" x14ac:dyDescent="0.2">
      <c r="A453" s="3" t="s">
        <v>296</v>
      </c>
      <c r="B453" s="3" t="s">
        <v>296</v>
      </c>
      <c r="C453" s="52">
        <v>35131</v>
      </c>
      <c r="D453" s="105">
        <v>56.154200000000003</v>
      </c>
      <c r="E453" s="105">
        <v>14.821199999999999</v>
      </c>
      <c r="F453" s="20">
        <v>8195</v>
      </c>
      <c r="G453" s="18">
        <v>0</v>
      </c>
      <c r="H453" s="53">
        <v>12</v>
      </c>
      <c r="I453" s="167">
        <f t="shared" si="711"/>
        <v>-0.999</v>
      </c>
      <c r="J453" s="104">
        <f t="shared" si="711"/>
        <v>1.117</v>
      </c>
      <c r="K453" s="104">
        <f t="shared" si="711"/>
        <v>6.6000000000000003E-2</v>
      </c>
      <c r="L453" s="105">
        <f t="shared" si="713"/>
        <v>0.22009999999999999</v>
      </c>
      <c r="M453" s="105">
        <f t="shared" si="713"/>
        <v>3.7199999999999997E-2</v>
      </c>
      <c r="N453" s="105">
        <f t="shared" si="713"/>
        <v>4.0300000000000002E-2</v>
      </c>
      <c r="O453" s="20">
        <f t="shared" ref="O453:P453" si="741">ROUND(0.819*O441+0.181*O477,0)</f>
        <v>180</v>
      </c>
      <c r="P453" s="20">
        <f t="shared" si="741"/>
        <v>60</v>
      </c>
      <c r="Q453" s="104">
        <f t="shared" si="715"/>
        <v>1E-3</v>
      </c>
      <c r="R453" s="20">
        <f t="shared" ref="R453:S453" si="742">ROUND(0.819*R441+0.181*R477,0)</f>
        <v>3</v>
      </c>
      <c r="S453" s="20">
        <f t="shared" si="742"/>
        <v>1500</v>
      </c>
      <c r="T453" s="104">
        <f t="shared" si="717"/>
        <v>0.1</v>
      </c>
      <c r="U453" s="54" t="s">
        <v>282</v>
      </c>
      <c r="V453" s="21"/>
      <c r="W453" s="58">
        <f t="shared" si="732"/>
        <v>35131</v>
      </c>
      <c r="X453" s="102">
        <f t="shared" si="733"/>
        <v>56.154200000000003</v>
      </c>
      <c r="Y453" s="102">
        <f t="shared" si="734"/>
        <v>14.821199999999999</v>
      </c>
      <c r="Z453" s="21">
        <f t="shared" si="735"/>
        <v>8195</v>
      </c>
      <c r="AA453" s="44">
        <f t="shared" si="736"/>
        <v>0</v>
      </c>
      <c r="AB453" s="21">
        <f t="shared" si="710"/>
        <v>12</v>
      </c>
      <c r="AC453" s="119">
        <f>ROUND(I453+mwreg!$G$45/100,3)</f>
        <v>-0.86099999999999999</v>
      </c>
      <c r="AD453" s="108">
        <f>ROUND(J453+mwreg!$G$45/100,3)</f>
        <v>1.2549999999999999</v>
      </c>
      <c r="AE453" s="108">
        <f>ROUND(K453+mwreg!$G$45/100,3)</f>
        <v>0.20399999999999999</v>
      </c>
      <c r="AF453" s="102">
        <f t="shared" si="708"/>
        <v>0.22009999999999999</v>
      </c>
      <c r="AG453" s="102">
        <f t="shared" si="709"/>
        <v>3.7199999999999997E-2</v>
      </c>
      <c r="AH453" s="109">
        <f t="shared" si="673"/>
        <v>4.0300000000000002E-2</v>
      </c>
      <c r="AI453" s="110">
        <f t="shared" si="674"/>
        <v>180</v>
      </c>
      <c r="AJ453" s="110">
        <f t="shared" si="675"/>
        <v>60</v>
      </c>
      <c r="AK453" s="108">
        <f t="shared" si="676"/>
        <v>1E-3</v>
      </c>
      <c r="AL453" s="110">
        <f t="shared" si="677"/>
        <v>3</v>
      </c>
      <c r="AM453" s="110">
        <f t="shared" si="678"/>
        <v>1500</v>
      </c>
      <c r="AN453" s="108">
        <f t="shared" si="679"/>
        <v>0.1</v>
      </c>
      <c r="AO453" s="186" t="str">
        <f t="shared" si="680"/>
        <v>NaN</v>
      </c>
    </row>
    <row r="454" spans="1:41" x14ac:dyDescent="0.2">
      <c r="A454" s="3" t="str">
        <f>stat_uppg!A46</f>
        <v>2543/33083</v>
      </c>
      <c r="B454" s="3" t="str">
        <f>stat_uppg!B46</f>
        <v>Åhus (SMHI) nedlagd</v>
      </c>
      <c r="C454" s="52">
        <v>2543</v>
      </c>
      <c r="D454" s="105">
        <v>55.928400000000003</v>
      </c>
      <c r="E454" s="105">
        <v>14.3286</v>
      </c>
      <c r="F454" s="20">
        <v>8195</v>
      </c>
      <c r="G454" s="18">
        <v>0</v>
      </c>
      <c r="H454" s="53">
        <v>1</v>
      </c>
      <c r="I454" s="167">
        <f t="shared" ref="I454:K465" si="743">ROUND(0.415*I430+0.585*I466,3)</f>
        <v>-1.0249999999999999</v>
      </c>
      <c r="J454" s="104">
        <f t="shared" si="743"/>
        <v>1.268</v>
      </c>
      <c r="K454" s="104">
        <f t="shared" si="743"/>
        <v>0.11</v>
      </c>
      <c r="L454" s="105">
        <f>ROUND(0.415*L430+0.585*L466,4)</f>
        <v>0.2505</v>
      </c>
      <c r="M454" s="105">
        <f t="shared" ref="M454:N454" si="744">ROUND(0.415*M430+0.585*M466,4)</f>
        <v>4.7300000000000002E-2</v>
      </c>
      <c r="N454" s="105">
        <f t="shared" si="744"/>
        <v>5.0700000000000002E-2</v>
      </c>
      <c r="O454" s="20">
        <f>ROUND(0.415*O430+0.585*O466,0)</f>
        <v>180</v>
      </c>
      <c r="P454" s="20">
        <f>ROUND(0.415*P430+0.585*P466,0)</f>
        <v>60</v>
      </c>
      <c r="Q454" s="104">
        <f>ROUND(0.415*Q430+0.585*Q466,3)</f>
        <v>1E-3</v>
      </c>
      <c r="R454" s="20">
        <f>ROUND(0.415*R430+0.585*R466,0)</f>
        <v>3</v>
      </c>
      <c r="S454" s="20">
        <f>ROUND(0.415*S430+0.585*S466,0)</f>
        <v>1500</v>
      </c>
      <c r="T454" s="104">
        <f>ROUND(0.415*T430+0.585*T466,3)</f>
        <v>0.1</v>
      </c>
      <c r="U454" s="54" t="s">
        <v>282</v>
      </c>
      <c r="V454" s="21"/>
      <c r="W454" s="58">
        <f t="shared" si="732"/>
        <v>2543</v>
      </c>
      <c r="X454" s="102">
        <f t="shared" si="733"/>
        <v>55.928400000000003</v>
      </c>
      <c r="Y454" s="102">
        <f t="shared" si="734"/>
        <v>14.3286</v>
      </c>
      <c r="Z454" s="21">
        <f t="shared" si="735"/>
        <v>8195</v>
      </c>
      <c r="AA454" s="44">
        <f t="shared" si="736"/>
        <v>0</v>
      </c>
      <c r="AB454" s="21">
        <f t="shared" si="710"/>
        <v>1</v>
      </c>
      <c r="AC454" s="119">
        <f>ROUND(I454+mwreg!$G$46/100,3)</f>
        <v>-0.874</v>
      </c>
      <c r="AD454" s="108">
        <f>ROUND(J454+mwreg!$G$46/100,3)</f>
        <v>1.419</v>
      </c>
      <c r="AE454" s="108">
        <f>ROUND(K454+mwreg!$G$46/100,3)</f>
        <v>0.26100000000000001</v>
      </c>
      <c r="AF454" s="102">
        <f t="shared" si="708"/>
        <v>0.2505</v>
      </c>
      <c r="AG454" s="102">
        <f t="shared" si="709"/>
        <v>4.7300000000000002E-2</v>
      </c>
      <c r="AH454" s="109">
        <f t="shared" si="673"/>
        <v>5.0700000000000002E-2</v>
      </c>
      <c r="AI454" s="110">
        <f t="shared" si="674"/>
        <v>180</v>
      </c>
      <c r="AJ454" s="110">
        <f t="shared" si="675"/>
        <v>60</v>
      </c>
      <c r="AK454" s="108">
        <f t="shared" si="676"/>
        <v>1E-3</v>
      </c>
      <c r="AL454" s="110">
        <f t="shared" si="677"/>
        <v>3</v>
      </c>
      <c r="AM454" s="110">
        <f t="shared" si="678"/>
        <v>1500</v>
      </c>
      <c r="AN454" s="108">
        <f t="shared" si="679"/>
        <v>0.1</v>
      </c>
      <c r="AO454" s="186" t="str">
        <f t="shared" si="680"/>
        <v>NaN</v>
      </c>
    </row>
    <row r="455" spans="1:41" x14ac:dyDescent="0.2">
      <c r="A455" s="3" t="s">
        <v>296</v>
      </c>
      <c r="B455" s="3" t="s">
        <v>296</v>
      </c>
      <c r="C455" s="52">
        <v>2543</v>
      </c>
      <c r="D455" s="105">
        <v>55.928400000000003</v>
      </c>
      <c r="E455" s="105">
        <v>14.3286</v>
      </c>
      <c r="F455" s="20">
        <v>8195</v>
      </c>
      <c r="G455" s="18">
        <v>0</v>
      </c>
      <c r="H455" s="53">
        <v>2</v>
      </c>
      <c r="I455" s="167">
        <f t="shared" si="743"/>
        <v>-1.0409999999999999</v>
      </c>
      <c r="J455" s="104">
        <f t="shared" si="743"/>
        <v>1.038</v>
      </c>
      <c r="K455" s="104">
        <f t="shared" si="743"/>
        <v>6.2E-2</v>
      </c>
      <c r="L455" s="105">
        <f t="shared" ref="L455:N465" si="745">ROUND(0.415*L431+0.585*L467,4)</f>
        <v>0.25900000000000001</v>
      </c>
      <c r="M455" s="105">
        <f t="shared" si="745"/>
        <v>3.5499999999999997E-2</v>
      </c>
      <c r="N455" s="105">
        <f t="shared" si="745"/>
        <v>3.8600000000000002E-2</v>
      </c>
      <c r="O455" s="20">
        <f t="shared" ref="O455:P455" si="746">ROUND(0.415*O431+0.585*O467,0)</f>
        <v>180</v>
      </c>
      <c r="P455" s="20">
        <f t="shared" si="746"/>
        <v>60</v>
      </c>
      <c r="Q455" s="104">
        <f t="shared" ref="Q455:Q465" si="747">ROUND(0.415*Q431+0.585*Q467,3)</f>
        <v>1E-3</v>
      </c>
      <c r="R455" s="20">
        <f t="shared" ref="R455:S455" si="748">ROUND(0.415*R431+0.585*R467,0)</f>
        <v>3</v>
      </c>
      <c r="S455" s="20">
        <f t="shared" si="748"/>
        <v>1500</v>
      </c>
      <c r="T455" s="104">
        <f t="shared" ref="T455:T465" si="749">ROUND(0.415*T431+0.585*T467,3)</f>
        <v>0.1</v>
      </c>
      <c r="U455" s="54" t="s">
        <v>282</v>
      </c>
      <c r="V455" s="21"/>
      <c r="W455" s="58">
        <f t="shared" si="732"/>
        <v>2543</v>
      </c>
      <c r="X455" s="102">
        <f t="shared" si="733"/>
        <v>55.928400000000003</v>
      </c>
      <c r="Y455" s="102">
        <f t="shared" si="734"/>
        <v>14.3286</v>
      </c>
      <c r="Z455" s="21">
        <f t="shared" si="735"/>
        <v>8195</v>
      </c>
      <c r="AA455" s="44">
        <f t="shared" si="736"/>
        <v>0</v>
      </c>
      <c r="AB455" s="21">
        <f t="shared" si="710"/>
        <v>2</v>
      </c>
      <c r="AC455" s="119">
        <f>ROUND(I455+mwreg!$G$46/100,3)</f>
        <v>-0.89</v>
      </c>
      <c r="AD455" s="108">
        <f>ROUND(J455+mwreg!$G$46/100,3)</f>
        <v>1.1890000000000001</v>
      </c>
      <c r="AE455" s="108">
        <f>ROUND(K455+mwreg!$G$46/100,3)</f>
        <v>0.21299999999999999</v>
      </c>
      <c r="AF455" s="102">
        <f t="shared" si="708"/>
        <v>0.25900000000000001</v>
      </c>
      <c r="AG455" s="102">
        <f t="shared" si="709"/>
        <v>3.5499999999999997E-2</v>
      </c>
      <c r="AH455" s="109">
        <f t="shared" si="673"/>
        <v>3.8600000000000002E-2</v>
      </c>
      <c r="AI455" s="110">
        <f t="shared" si="674"/>
        <v>180</v>
      </c>
      <c r="AJ455" s="110">
        <f t="shared" si="675"/>
        <v>60</v>
      </c>
      <c r="AK455" s="108">
        <f t="shared" si="676"/>
        <v>1E-3</v>
      </c>
      <c r="AL455" s="110">
        <f t="shared" si="677"/>
        <v>3</v>
      </c>
      <c r="AM455" s="110">
        <f t="shared" si="678"/>
        <v>1500</v>
      </c>
      <c r="AN455" s="108">
        <f t="shared" si="679"/>
        <v>0.1</v>
      </c>
      <c r="AO455" s="186" t="str">
        <f t="shared" si="680"/>
        <v>NaN</v>
      </c>
    </row>
    <row r="456" spans="1:41" x14ac:dyDescent="0.2">
      <c r="A456" s="3" t="s">
        <v>296</v>
      </c>
      <c r="B456" s="3" t="s">
        <v>296</v>
      </c>
      <c r="C456" s="52">
        <v>2543</v>
      </c>
      <c r="D456" s="105">
        <v>55.928400000000003</v>
      </c>
      <c r="E456" s="105">
        <v>14.3286</v>
      </c>
      <c r="F456" s="20">
        <v>8195</v>
      </c>
      <c r="G456" s="18">
        <v>0</v>
      </c>
      <c r="H456" s="53">
        <v>3</v>
      </c>
      <c r="I456" s="167">
        <f t="shared" si="743"/>
        <v>-0.84099999999999997</v>
      </c>
      <c r="J456" s="104">
        <f t="shared" si="743"/>
        <v>0.872</v>
      </c>
      <c r="K456" s="104">
        <f t="shared" si="743"/>
        <v>8.9999999999999993E-3</v>
      </c>
      <c r="L456" s="105">
        <f t="shared" si="745"/>
        <v>0.22459999999999999</v>
      </c>
      <c r="M456" s="105">
        <f t="shared" si="745"/>
        <v>3.6499999999999998E-2</v>
      </c>
      <c r="N456" s="105">
        <f t="shared" si="745"/>
        <v>3.95E-2</v>
      </c>
      <c r="O456" s="20">
        <f t="shared" ref="O456:P456" si="750">ROUND(0.415*O432+0.585*O468,0)</f>
        <v>180</v>
      </c>
      <c r="P456" s="20">
        <f t="shared" si="750"/>
        <v>60</v>
      </c>
      <c r="Q456" s="104">
        <f t="shared" si="747"/>
        <v>1E-3</v>
      </c>
      <c r="R456" s="20">
        <f t="shared" ref="R456:S456" si="751">ROUND(0.415*R432+0.585*R468,0)</f>
        <v>3</v>
      </c>
      <c r="S456" s="20">
        <f t="shared" si="751"/>
        <v>1500</v>
      </c>
      <c r="T456" s="104">
        <f t="shared" si="749"/>
        <v>0.1</v>
      </c>
      <c r="U456" s="54" t="s">
        <v>282</v>
      </c>
      <c r="V456" s="21"/>
      <c r="W456" s="58">
        <f t="shared" si="732"/>
        <v>2543</v>
      </c>
      <c r="X456" s="102">
        <f t="shared" si="733"/>
        <v>55.928400000000003</v>
      </c>
      <c r="Y456" s="102">
        <f t="shared" si="734"/>
        <v>14.3286</v>
      </c>
      <c r="Z456" s="21">
        <f t="shared" si="735"/>
        <v>8195</v>
      </c>
      <c r="AA456" s="44">
        <f t="shared" si="736"/>
        <v>0</v>
      </c>
      <c r="AB456" s="21">
        <f t="shared" si="710"/>
        <v>3</v>
      </c>
      <c r="AC456" s="119">
        <f>ROUND(I456+mwreg!$G$46/100,3)</f>
        <v>-0.69</v>
      </c>
      <c r="AD456" s="108">
        <f>ROUND(J456+mwreg!$G$46/100,3)</f>
        <v>1.0229999999999999</v>
      </c>
      <c r="AE456" s="108">
        <f>ROUND(K456+mwreg!$G$46/100,3)</f>
        <v>0.16</v>
      </c>
      <c r="AF456" s="102">
        <f t="shared" si="708"/>
        <v>0.22459999999999999</v>
      </c>
      <c r="AG456" s="102">
        <f t="shared" si="709"/>
        <v>3.6499999999999998E-2</v>
      </c>
      <c r="AH456" s="109">
        <f t="shared" si="673"/>
        <v>3.95E-2</v>
      </c>
      <c r="AI456" s="110">
        <f t="shared" si="674"/>
        <v>180</v>
      </c>
      <c r="AJ456" s="110">
        <f t="shared" si="675"/>
        <v>60</v>
      </c>
      <c r="AK456" s="108">
        <f t="shared" si="676"/>
        <v>1E-3</v>
      </c>
      <c r="AL456" s="110">
        <f t="shared" si="677"/>
        <v>3</v>
      </c>
      <c r="AM456" s="110">
        <f t="shared" si="678"/>
        <v>1500</v>
      </c>
      <c r="AN456" s="108">
        <f t="shared" si="679"/>
        <v>0.1</v>
      </c>
      <c r="AO456" s="186" t="str">
        <f t="shared" si="680"/>
        <v>NaN</v>
      </c>
    </row>
    <row r="457" spans="1:41" x14ac:dyDescent="0.2">
      <c r="A457" s="3" t="s">
        <v>296</v>
      </c>
      <c r="B457" s="3" t="s">
        <v>296</v>
      </c>
      <c r="C457" s="52">
        <v>2543</v>
      </c>
      <c r="D457" s="105">
        <v>55.928400000000003</v>
      </c>
      <c r="E457" s="105">
        <v>14.3286</v>
      </c>
      <c r="F457" s="20">
        <v>8195</v>
      </c>
      <c r="G457" s="18">
        <v>0</v>
      </c>
      <c r="H457" s="53">
        <v>4</v>
      </c>
      <c r="I457" s="167">
        <f t="shared" si="743"/>
        <v>-0.67</v>
      </c>
      <c r="J457" s="104">
        <f t="shared" si="743"/>
        <v>0.90400000000000003</v>
      </c>
      <c r="K457" s="104">
        <f t="shared" si="743"/>
        <v>-5.6000000000000001E-2</v>
      </c>
      <c r="L457" s="105">
        <f t="shared" si="745"/>
        <v>0.1547</v>
      </c>
      <c r="M457" s="105">
        <f t="shared" si="745"/>
        <v>7.0900000000000005E-2</v>
      </c>
      <c r="N457" s="105">
        <f t="shared" si="745"/>
        <v>7.3700000000000002E-2</v>
      </c>
      <c r="O457" s="20">
        <f t="shared" ref="O457:P457" si="752">ROUND(0.415*O433+0.585*O469,0)</f>
        <v>180</v>
      </c>
      <c r="P457" s="20">
        <f t="shared" si="752"/>
        <v>60</v>
      </c>
      <c r="Q457" s="104">
        <f t="shared" si="747"/>
        <v>1E-3</v>
      </c>
      <c r="R457" s="20">
        <f t="shared" ref="R457:S457" si="753">ROUND(0.415*R433+0.585*R469,0)</f>
        <v>3</v>
      </c>
      <c r="S457" s="20">
        <f t="shared" si="753"/>
        <v>1500</v>
      </c>
      <c r="T457" s="104">
        <f t="shared" si="749"/>
        <v>0.1</v>
      </c>
      <c r="U457" s="54" t="s">
        <v>282</v>
      </c>
      <c r="V457" s="21"/>
      <c r="W457" s="58">
        <f t="shared" si="732"/>
        <v>2543</v>
      </c>
      <c r="X457" s="102">
        <f t="shared" si="733"/>
        <v>55.928400000000003</v>
      </c>
      <c r="Y457" s="102">
        <f t="shared" si="734"/>
        <v>14.3286</v>
      </c>
      <c r="Z457" s="21">
        <f t="shared" si="735"/>
        <v>8195</v>
      </c>
      <c r="AA457" s="44">
        <f t="shared" si="736"/>
        <v>0</v>
      </c>
      <c r="AB457" s="21">
        <f t="shared" si="710"/>
        <v>4</v>
      </c>
      <c r="AC457" s="119">
        <f>ROUND(I457+mwreg!$G$46/100,3)</f>
        <v>-0.51900000000000002</v>
      </c>
      <c r="AD457" s="108">
        <f>ROUND(J457+mwreg!$G$46/100,3)</f>
        <v>1.0549999999999999</v>
      </c>
      <c r="AE457" s="108">
        <f>ROUND(K457+mwreg!$G$46/100,3)</f>
        <v>9.5000000000000001E-2</v>
      </c>
      <c r="AF457" s="102">
        <f t="shared" si="708"/>
        <v>0.1547</v>
      </c>
      <c r="AG457" s="102">
        <f t="shared" si="709"/>
        <v>7.0900000000000005E-2</v>
      </c>
      <c r="AH457" s="109">
        <f t="shared" si="673"/>
        <v>7.3700000000000002E-2</v>
      </c>
      <c r="AI457" s="110">
        <f t="shared" si="674"/>
        <v>180</v>
      </c>
      <c r="AJ457" s="110">
        <f t="shared" si="675"/>
        <v>60</v>
      </c>
      <c r="AK457" s="108">
        <f t="shared" si="676"/>
        <v>1E-3</v>
      </c>
      <c r="AL457" s="110">
        <f t="shared" si="677"/>
        <v>3</v>
      </c>
      <c r="AM457" s="110">
        <f t="shared" si="678"/>
        <v>1500</v>
      </c>
      <c r="AN457" s="108">
        <f t="shared" si="679"/>
        <v>0.1</v>
      </c>
      <c r="AO457" s="186" t="str">
        <f t="shared" si="680"/>
        <v>NaN</v>
      </c>
    </row>
    <row r="458" spans="1:41" x14ac:dyDescent="0.2">
      <c r="A458" s="3" t="s">
        <v>296</v>
      </c>
      <c r="B458" s="3" t="s">
        <v>296</v>
      </c>
      <c r="C458" s="52">
        <v>2543</v>
      </c>
      <c r="D458" s="105">
        <v>55.928400000000003</v>
      </c>
      <c r="E458" s="105">
        <v>14.3286</v>
      </c>
      <c r="F458" s="20">
        <v>8195</v>
      </c>
      <c r="G458" s="18">
        <v>0</v>
      </c>
      <c r="H458" s="53">
        <v>5</v>
      </c>
      <c r="I458" s="167">
        <f t="shared" si="743"/>
        <v>-0.54600000000000004</v>
      </c>
      <c r="J458" s="104">
        <f t="shared" si="743"/>
        <v>0.372</v>
      </c>
      <c r="K458" s="104">
        <f t="shared" si="743"/>
        <v>-4.8000000000000001E-2</v>
      </c>
      <c r="L458" s="105">
        <f t="shared" si="745"/>
        <v>0.12039999999999999</v>
      </c>
      <c r="M458" s="105">
        <f t="shared" si="745"/>
        <v>6.6500000000000004E-2</v>
      </c>
      <c r="N458" s="105">
        <f t="shared" si="745"/>
        <v>6.93E-2</v>
      </c>
      <c r="O458" s="20">
        <f t="shared" ref="O458:P458" si="754">ROUND(0.415*O434+0.585*O470,0)</f>
        <v>180</v>
      </c>
      <c r="P458" s="20">
        <f t="shared" si="754"/>
        <v>60</v>
      </c>
      <c r="Q458" s="104">
        <f t="shared" si="747"/>
        <v>1E-3</v>
      </c>
      <c r="R458" s="20">
        <f t="shared" ref="R458:S458" si="755">ROUND(0.415*R434+0.585*R470,0)</f>
        <v>3</v>
      </c>
      <c r="S458" s="20">
        <f t="shared" si="755"/>
        <v>1500</v>
      </c>
      <c r="T458" s="104">
        <f t="shared" si="749"/>
        <v>0.1</v>
      </c>
      <c r="U458" s="54" t="s">
        <v>282</v>
      </c>
      <c r="V458" s="21"/>
      <c r="W458" s="58">
        <f t="shared" si="732"/>
        <v>2543</v>
      </c>
      <c r="X458" s="102">
        <f t="shared" si="733"/>
        <v>55.928400000000003</v>
      </c>
      <c r="Y458" s="102">
        <f t="shared" si="734"/>
        <v>14.3286</v>
      </c>
      <c r="Z458" s="21">
        <f t="shared" si="735"/>
        <v>8195</v>
      </c>
      <c r="AA458" s="44">
        <f t="shared" si="736"/>
        <v>0</v>
      </c>
      <c r="AB458" s="21">
        <f t="shared" si="710"/>
        <v>5</v>
      </c>
      <c r="AC458" s="119">
        <f>ROUND(I458+mwreg!$G$46/100,3)</f>
        <v>-0.39500000000000002</v>
      </c>
      <c r="AD458" s="108">
        <f>ROUND(J458+mwreg!$G$46/100,3)</f>
        <v>0.52300000000000002</v>
      </c>
      <c r="AE458" s="108">
        <f>ROUND(K458+mwreg!$G$46/100,3)</f>
        <v>0.10299999999999999</v>
      </c>
      <c r="AF458" s="102">
        <f t="shared" si="708"/>
        <v>0.12039999999999999</v>
      </c>
      <c r="AG458" s="102">
        <f t="shared" si="709"/>
        <v>6.6500000000000004E-2</v>
      </c>
      <c r="AH458" s="109">
        <f t="shared" si="673"/>
        <v>6.93E-2</v>
      </c>
      <c r="AI458" s="110">
        <f t="shared" si="674"/>
        <v>180</v>
      </c>
      <c r="AJ458" s="110">
        <f t="shared" si="675"/>
        <v>60</v>
      </c>
      <c r="AK458" s="108">
        <f t="shared" si="676"/>
        <v>1E-3</v>
      </c>
      <c r="AL458" s="110">
        <f t="shared" si="677"/>
        <v>3</v>
      </c>
      <c r="AM458" s="110">
        <f t="shared" si="678"/>
        <v>1500</v>
      </c>
      <c r="AN458" s="108">
        <f t="shared" si="679"/>
        <v>0.1</v>
      </c>
      <c r="AO458" s="186" t="str">
        <f t="shared" si="680"/>
        <v>NaN</v>
      </c>
    </row>
    <row r="459" spans="1:41" x14ac:dyDescent="0.2">
      <c r="A459" s="3" t="s">
        <v>296</v>
      </c>
      <c r="B459" s="3" t="s">
        <v>296</v>
      </c>
      <c r="C459" s="52">
        <v>2543</v>
      </c>
      <c r="D459" s="105">
        <v>55.928400000000003</v>
      </c>
      <c r="E459" s="105">
        <v>14.3286</v>
      </c>
      <c r="F459" s="20">
        <v>8195</v>
      </c>
      <c r="G459" s="18">
        <v>0</v>
      </c>
      <c r="H459" s="53">
        <v>6</v>
      </c>
      <c r="I459" s="167">
        <f t="shared" si="743"/>
        <v>-0.56299999999999994</v>
      </c>
      <c r="J459" s="104">
        <f t="shared" si="743"/>
        <v>0.45900000000000002</v>
      </c>
      <c r="K459" s="104">
        <f t="shared" si="743"/>
        <v>-2.7E-2</v>
      </c>
      <c r="L459" s="105">
        <f t="shared" si="745"/>
        <v>0.1087</v>
      </c>
      <c r="M459" s="105">
        <f t="shared" si="745"/>
        <v>6.83E-2</v>
      </c>
      <c r="N459" s="105">
        <f t="shared" si="745"/>
        <v>7.1099999999999997E-2</v>
      </c>
      <c r="O459" s="20">
        <f t="shared" ref="O459:P459" si="756">ROUND(0.415*O435+0.585*O471,0)</f>
        <v>180</v>
      </c>
      <c r="P459" s="20">
        <f t="shared" si="756"/>
        <v>60</v>
      </c>
      <c r="Q459" s="104">
        <f t="shared" si="747"/>
        <v>1E-3</v>
      </c>
      <c r="R459" s="20">
        <f t="shared" ref="R459:S459" si="757">ROUND(0.415*R435+0.585*R471,0)</f>
        <v>3</v>
      </c>
      <c r="S459" s="20">
        <f t="shared" si="757"/>
        <v>1500</v>
      </c>
      <c r="T459" s="104">
        <f t="shared" si="749"/>
        <v>0.1</v>
      </c>
      <c r="U459" s="54" t="s">
        <v>282</v>
      </c>
      <c r="V459" s="21"/>
      <c r="W459" s="58">
        <f t="shared" si="732"/>
        <v>2543</v>
      </c>
      <c r="X459" s="102">
        <f t="shared" si="733"/>
        <v>55.928400000000003</v>
      </c>
      <c r="Y459" s="102">
        <f t="shared" si="734"/>
        <v>14.3286</v>
      </c>
      <c r="Z459" s="21">
        <f t="shared" si="735"/>
        <v>8195</v>
      </c>
      <c r="AA459" s="44">
        <f t="shared" si="736"/>
        <v>0</v>
      </c>
      <c r="AB459" s="21">
        <f t="shared" si="710"/>
        <v>6</v>
      </c>
      <c r="AC459" s="119">
        <f>ROUND(I459+mwreg!$G$46/100,3)</f>
        <v>-0.41199999999999998</v>
      </c>
      <c r="AD459" s="108">
        <f>ROUND(J459+mwreg!$G$46/100,3)</f>
        <v>0.61</v>
      </c>
      <c r="AE459" s="108">
        <f>ROUND(K459+mwreg!$G$46/100,3)</f>
        <v>0.124</v>
      </c>
      <c r="AF459" s="102">
        <f t="shared" si="708"/>
        <v>0.1087</v>
      </c>
      <c r="AG459" s="102">
        <f t="shared" si="709"/>
        <v>6.83E-2</v>
      </c>
      <c r="AH459" s="109">
        <f t="shared" si="673"/>
        <v>7.1099999999999997E-2</v>
      </c>
      <c r="AI459" s="110">
        <f t="shared" si="674"/>
        <v>180</v>
      </c>
      <c r="AJ459" s="110">
        <f t="shared" si="675"/>
        <v>60</v>
      </c>
      <c r="AK459" s="108">
        <f t="shared" si="676"/>
        <v>1E-3</v>
      </c>
      <c r="AL459" s="110">
        <f t="shared" si="677"/>
        <v>3</v>
      </c>
      <c r="AM459" s="110">
        <f t="shared" si="678"/>
        <v>1500</v>
      </c>
      <c r="AN459" s="108">
        <f t="shared" si="679"/>
        <v>0.1</v>
      </c>
      <c r="AO459" s="186" t="str">
        <f t="shared" si="680"/>
        <v>NaN</v>
      </c>
    </row>
    <row r="460" spans="1:41" x14ac:dyDescent="0.2">
      <c r="A460" s="3" t="s">
        <v>296</v>
      </c>
      <c r="B460" s="3" t="s">
        <v>296</v>
      </c>
      <c r="C460" s="52">
        <v>2543</v>
      </c>
      <c r="D460" s="105">
        <v>55.928400000000003</v>
      </c>
      <c r="E460" s="105">
        <v>14.3286</v>
      </c>
      <c r="F460" s="20">
        <v>8195</v>
      </c>
      <c r="G460" s="18">
        <v>0</v>
      </c>
      <c r="H460" s="53">
        <v>7</v>
      </c>
      <c r="I460" s="167">
        <f t="shared" si="743"/>
        <v>-0.504</v>
      </c>
      <c r="J460" s="104">
        <f t="shared" si="743"/>
        <v>0.48799999999999999</v>
      </c>
      <c r="K460" s="104">
        <f t="shared" si="743"/>
        <v>5.8999999999999997E-2</v>
      </c>
      <c r="L460" s="105">
        <f t="shared" si="745"/>
        <v>0.1139</v>
      </c>
      <c r="M460" s="105">
        <f t="shared" si="745"/>
        <v>5.8000000000000003E-2</v>
      </c>
      <c r="N460" s="105">
        <f t="shared" si="745"/>
        <v>6.0600000000000001E-2</v>
      </c>
      <c r="O460" s="20">
        <f t="shared" ref="O460:P460" si="758">ROUND(0.415*O436+0.585*O472,0)</f>
        <v>180</v>
      </c>
      <c r="P460" s="20">
        <f t="shared" si="758"/>
        <v>60</v>
      </c>
      <c r="Q460" s="104">
        <f t="shared" si="747"/>
        <v>1E-3</v>
      </c>
      <c r="R460" s="20">
        <f t="shared" ref="R460:S460" si="759">ROUND(0.415*R436+0.585*R472,0)</f>
        <v>3</v>
      </c>
      <c r="S460" s="20">
        <f t="shared" si="759"/>
        <v>1500</v>
      </c>
      <c r="T460" s="104">
        <f t="shared" si="749"/>
        <v>0.1</v>
      </c>
      <c r="U460" s="54" t="s">
        <v>282</v>
      </c>
      <c r="V460" s="21"/>
      <c r="W460" s="58">
        <f t="shared" si="732"/>
        <v>2543</v>
      </c>
      <c r="X460" s="102">
        <f t="shared" si="733"/>
        <v>55.928400000000003</v>
      </c>
      <c r="Y460" s="102">
        <f t="shared" si="734"/>
        <v>14.3286</v>
      </c>
      <c r="Z460" s="21">
        <f t="shared" si="735"/>
        <v>8195</v>
      </c>
      <c r="AA460" s="44">
        <f t="shared" si="736"/>
        <v>0</v>
      </c>
      <c r="AB460" s="21">
        <f t="shared" si="710"/>
        <v>7</v>
      </c>
      <c r="AC460" s="119">
        <f>ROUND(I460+mwreg!$G$46/100,3)</f>
        <v>-0.35299999999999998</v>
      </c>
      <c r="AD460" s="108">
        <f>ROUND(J460+mwreg!$G$46/100,3)</f>
        <v>0.63900000000000001</v>
      </c>
      <c r="AE460" s="108">
        <f>ROUND(K460+mwreg!$G$46/100,3)</f>
        <v>0.21</v>
      </c>
      <c r="AF460" s="102">
        <f t="shared" si="708"/>
        <v>0.1139</v>
      </c>
      <c r="AG460" s="102">
        <f t="shared" si="709"/>
        <v>5.8000000000000003E-2</v>
      </c>
      <c r="AH460" s="109">
        <f t="shared" si="673"/>
        <v>6.0600000000000001E-2</v>
      </c>
      <c r="AI460" s="110">
        <f t="shared" si="674"/>
        <v>180</v>
      </c>
      <c r="AJ460" s="110">
        <f t="shared" si="675"/>
        <v>60</v>
      </c>
      <c r="AK460" s="108">
        <f t="shared" si="676"/>
        <v>1E-3</v>
      </c>
      <c r="AL460" s="110">
        <f t="shared" si="677"/>
        <v>3</v>
      </c>
      <c r="AM460" s="110">
        <f t="shared" si="678"/>
        <v>1500</v>
      </c>
      <c r="AN460" s="108">
        <f t="shared" si="679"/>
        <v>0.1</v>
      </c>
      <c r="AO460" s="186" t="str">
        <f t="shared" si="680"/>
        <v>NaN</v>
      </c>
    </row>
    <row r="461" spans="1:41" x14ac:dyDescent="0.2">
      <c r="A461" s="3" t="s">
        <v>296</v>
      </c>
      <c r="B461" s="3" t="s">
        <v>296</v>
      </c>
      <c r="C461" s="52">
        <v>2543</v>
      </c>
      <c r="D461" s="105">
        <v>55.928400000000003</v>
      </c>
      <c r="E461" s="105">
        <v>14.3286</v>
      </c>
      <c r="F461" s="20">
        <v>8195</v>
      </c>
      <c r="G461" s="18">
        <v>0</v>
      </c>
      <c r="H461" s="53">
        <v>8</v>
      </c>
      <c r="I461" s="167">
        <f t="shared" si="743"/>
        <v>-0.48699999999999999</v>
      </c>
      <c r="J461" s="104">
        <f t="shared" si="743"/>
        <v>0.58799999999999997</v>
      </c>
      <c r="K461" s="104">
        <f t="shared" si="743"/>
        <v>2.4E-2</v>
      </c>
      <c r="L461" s="105">
        <f t="shared" si="745"/>
        <v>0.11260000000000001</v>
      </c>
      <c r="M461" s="105">
        <f t="shared" si="745"/>
        <v>4.4499999999999998E-2</v>
      </c>
      <c r="N461" s="105">
        <f t="shared" si="745"/>
        <v>4.7300000000000002E-2</v>
      </c>
      <c r="O461" s="20">
        <f t="shared" ref="O461:P461" si="760">ROUND(0.415*O437+0.585*O473,0)</f>
        <v>180</v>
      </c>
      <c r="P461" s="20">
        <f t="shared" si="760"/>
        <v>60</v>
      </c>
      <c r="Q461" s="104">
        <f t="shared" si="747"/>
        <v>1E-3</v>
      </c>
      <c r="R461" s="20">
        <f t="shared" ref="R461:S461" si="761">ROUND(0.415*R437+0.585*R473,0)</f>
        <v>3</v>
      </c>
      <c r="S461" s="20">
        <f t="shared" si="761"/>
        <v>1500</v>
      </c>
      <c r="T461" s="104">
        <f t="shared" si="749"/>
        <v>0.1</v>
      </c>
      <c r="U461" s="54" t="s">
        <v>282</v>
      </c>
      <c r="V461" s="21"/>
      <c r="W461" s="58">
        <f t="shared" si="732"/>
        <v>2543</v>
      </c>
      <c r="X461" s="102">
        <f t="shared" si="733"/>
        <v>55.928400000000003</v>
      </c>
      <c r="Y461" s="102">
        <f t="shared" si="734"/>
        <v>14.3286</v>
      </c>
      <c r="Z461" s="21">
        <f t="shared" si="735"/>
        <v>8195</v>
      </c>
      <c r="AA461" s="44">
        <f t="shared" si="736"/>
        <v>0</v>
      </c>
      <c r="AB461" s="21">
        <f t="shared" si="710"/>
        <v>8</v>
      </c>
      <c r="AC461" s="119">
        <f>ROUND(I461+mwreg!$G$46/100,3)</f>
        <v>-0.33600000000000002</v>
      </c>
      <c r="AD461" s="108">
        <f>ROUND(J461+mwreg!$G$46/100,3)</f>
        <v>0.73899999999999999</v>
      </c>
      <c r="AE461" s="108">
        <f>ROUND(K461+mwreg!$G$46/100,3)</f>
        <v>0.17499999999999999</v>
      </c>
      <c r="AF461" s="102">
        <f t="shared" si="708"/>
        <v>0.11260000000000001</v>
      </c>
      <c r="AG461" s="102">
        <f t="shared" si="709"/>
        <v>4.4499999999999998E-2</v>
      </c>
      <c r="AH461" s="109">
        <f t="shared" si="673"/>
        <v>4.7300000000000002E-2</v>
      </c>
      <c r="AI461" s="110">
        <f t="shared" si="674"/>
        <v>180</v>
      </c>
      <c r="AJ461" s="110">
        <f t="shared" si="675"/>
        <v>60</v>
      </c>
      <c r="AK461" s="108">
        <f t="shared" si="676"/>
        <v>1E-3</v>
      </c>
      <c r="AL461" s="110">
        <f t="shared" si="677"/>
        <v>3</v>
      </c>
      <c r="AM461" s="110">
        <f t="shared" si="678"/>
        <v>1500</v>
      </c>
      <c r="AN461" s="108">
        <f t="shared" si="679"/>
        <v>0.1</v>
      </c>
      <c r="AO461" s="186" t="str">
        <f t="shared" si="680"/>
        <v>NaN</v>
      </c>
    </row>
    <row r="462" spans="1:41" x14ac:dyDescent="0.2">
      <c r="A462" s="3" t="s">
        <v>296</v>
      </c>
      <c r="B462" s="3" t="s">
        <v>296</v>
      </c>
      <c r="C462" s="52">
        <v>2543</v>
      </c>
      <c r="D462" s="105">
        <v>55.928400000000003</v>
      </c>
      <c r="E462" s="105">
        <v>14.3286</v>
      </c>
      <c r="F462" s="20">
        <v>8195</v>
      </c>
      <c r="G462" s="18">
        <v>0</v>
      </c>
      <c r="H462" s="53">
        <v>9</v>
      </c>
      <c r="I462" s="167">
        <f t="shared" si="743"/>
        <v>-0.72499999999999998</v>
      </c>
      <c r="J462" s="104">
        <f t="shared" si="743"/>
        <v>0.90300000000000002</v>
      </c>
      <c r="K462" s="104">
        <f t="shared" si="743"/>
        <v>6.4000000000000001E-2</v>
      </c>
      <c r="L462" s="105">
        <f t="shared" si="745"/>
        <v>0.1535</v>
      </c>
      <c r="M462" s="105">
        <f t="shared" si="745"/>
        <v>3.9199999999999999E-2</v>
      </c>
      <c r="N462" s="105">
        <f t="shared" si="745"/>
        <v>4.19E-2</v>
      </c>
      <c r="O462" s="20">
        <f t="shared" ref="O462:P462" si="762">ROUND(0.415*O438+0.585*O474,0)</f>
        <v>180</v>
      </c>
      <c r="P462" s="20">
        <f t="shared" si="762"/>
        <v>60</v>
      </c>
      <c r="Q462" s="104">
        <f t="shared" si="747"/>
        <v>1E-3</v>
      </c>
      <c r="R462" s="20">
        <f t="shared" ref="R462:S462" si="763">ROUND(0.415*R438+0.585*R474,0)</f>
        <v>3</v>
      </c>
      <c r="S462" s="20">
        <f t="shared" si="763"/>
        <v>1500</v>
      </c>
      <c r="T462" s="104">
        <f t="shared" si="749"/>
        <v>0.1</v>
      </c>
      <c r="U462" s="54" t="s">
        <v>282</v>
      </c>
      <c r="V462" s="21"/>
      <c r="W462" s="58">
        <f t="shared" si="732"/>
        <v>2543</v>
      </c>
      <c r="X462" s="102">
        <f t="shared" si="733"/>
        <v>55.928400000000003</v>
      </c>
      <c r="Y462" s="102">
        <f t="shared" si="734"/>
        <v>14.3286</v>
      </c>
      <c r="Z462" s="21">
        <f t="shared" si="735"/>
        <v>8195</v>
      </c>
      <c r="AA462" s="44">
        <f t="shared" si="736"/>
        <v>0</v>
      </c>
      <c r="AB462" s="21">
        <f t="shared" si="710"/>
        <v>9</v>
      </c>
      <c r="AC462" s="119">
        <f>ROUND(I462+mwreg!$G$46/100,3)</f>
        <v>-0.57399999999999995</v>
      </c>
      <c r="AD462" s="108">
        <f>ROUND(J462+mwreg!$G$46/100,3)</f>
        <v>1.054</v>
      </c>
      <c r="AE462" s="108">
        <f>ROUND(K462+mwreg!$G$46/100,3)</f>
        <v>0.215</v>
      </c>
      <c r="AF462" s="102">
        <f t="shared" si="708"/>
        <v>0.1535</v>
      </c>
      <c r="AG462" s="102">
        <f t="shared" si="709"/>
        <v>3.9199999999999999E-2</v>
      </c>
      <c r="AH462" s="109">
        <f t="shared" ref="AH462:AH525" si="764">N462</f>
        <v>4.19E-2</v>
      </c>
      <c r="AI462" s="110">
        <f t="shared" ref="AI462:AI525" si="765">O462</f>
        <v>180</v>
      </c>
      <c r="AJ462" s="110">
        <f t="shared" ref="AJ462:AJ525" si="766">P462</f>
        <v>60</v>
      </c>
      <c r="AK462" s="108">
        <f t="shared" ref="AK462:AK525" si="767">Q462</f>
        <v>1E-3</v>
      </c>
      <c r="AL462" s="110">
        <f t="shared" ref="AL462:AL525" si="768">R462</f>
        <v>3</v>
      </c>
      <c r="AM462" s="110">
        <f t="shared" ref="AM462:AM525" si="769">S462</f>
        <v>1500</v>
      </c>
      <c r="AN462" s="108">
        <f t="shared" ref="AN462:AN525" si="770">T462</f>
        <v>0.1</v>
      </c>
      <c r="AO462" s="186" t="str">
        <f t="shared" si="680"/>
        <v>NaN</v>
      </c>
    </row>
    <row r="463" spans="1:41" x14ac:dyDescent="0.2">
      <c r="A463" s="3" t="s">
        <v>296</v>
      </c>
      <c r="B463" s="3" t="s">
        <v>296</v>
      </c>
      <c r="C463" s="52">
        <v>2543</v>
      </c>
      <c r="D463" s="105">
        <v>55.928400000000003</v>
      </c>
      <c r="E463" s="105">
        <v>14.3286</v>
      </c>
      <c r="F463" s="20">
        <v>8195</v>
      </c>
      <c r="G463" s="18">
        <v>0</v>
      </c>
      <c r="H463" s="53">
        <v>10</v>
      </c>
      <c r="I463" s="167">
        <f t="shared" si="743"/>
        <v>-0.92500000000000004</v>
      </c>
      <c r="J463" s="104">
        <f t="shared" si="743"/>
        <v>0.91</v>
      </c>
      <c r="K463" s="104">
        <f t="shared" si="743"/>
        <v>0.04</v>
      </c>
      <c r="L463" s="105">
        <f t="shared" si="745"/>
        <v>0.18429999999999999</v>
      </c>
      <c r="M463" s="105">
        <f t="shared" si="745"/>
        <v>4.8800000000000003E-2</v>
      </c>
      <c r="N463" s="105">
        <f t="shared" si="745"/>
        <v>5.21E-2</v>
      </c>
      <c r="O463" s="20">
        <f t="shared" ref="O463:P463" si="771">ROUND(0.415*O439+0.585*O475,0)</f>
        <v>180</v>
      </c>
      <c r="P463" s="20">
        <f t="shared" si="771"/>
        <v>60</v>
      </c>
      <c r="Q463" s="104">
        <f t="shared" si="747"/>
        <v>1E-3</v>
      </c>
      <c r="R463" s="20">
        <f t="shared" ref="R463:S463" si="772">ROUND(0.415*R439+0.585*R475,0)</f>
        <v>3</v>
      </c>
      <c r="S463" s="20">
        <f t="shared" si="772"/>
        <v>1500</v>
      </c>
      <c r="T463" s="104">
        <f t="shared" si="749"/>
        <v>0.1</v>
      </c>
      <c r="U463" s="54" t="s">
        <v>282</v>
      </c>
      <c r="V463" s="21"/>
      <c r="W463" s="58">
        <f t="shared" si="732"/>
        <v>2543</v>
      </c>
      <c r="X463" s="102">
        <f t="shared" si="733"/>
        <v>55.928400000000003</v>
      </c>
      <c r="Y463" s="102">
        <f t="shared" si="734"/>
        <v>14.3286</v>
      </c>
      <c r="Z463" s="21">
        <f t="shared" si="735"/>
        <v>8195</v>
      </c>
      <c r="AA463" s="44">
        <f t="shared" si="736"/>
        <v>0</v>
      </c>
      <c r="AB463" s="21">
        <f t="shared" si="710"/>
        <v>10</v>
      </c>
      <c r="AC463" s="119">
        <f>ROUND(I463+mwreg!$G$46/100,3)</f>
        <v>-0.77400000000000002</v>
      </c>
      <c r="AD463" s="108">
        <f>ROUND(J463+mwreg!$G$46/100,3)</f>
        <v>1.0609999999999999</v>
      </c>
      <c r="AE463" s="108">
        <f>ROUND(K463+mwreg!$G$46/100,3)</f>
        <v>0.191</v>
      </c>
      <c r="AF463" s="102">
        <f t="shared" si="708"/>
        <v>0.18429999999999999</v>
      </c>
      <c r="AG463" s="102">
        <f t="shared" si="709"/>
        <v>4.8800000000000003E-2</v>
      </c>
      <c r="AH463" s="109">
        <f t="shared" si="764"/>
        <v>5.21E-2</v>
      </c>
      <c r="AI463" s="110">
        <f t="shared" si="765"/>
        <v>180</v>
      </c>
      <c r="AJ463" s="110">
        <f t="shared" si="766"/>
        <v>60</v>
      </c>
      <c r="AK463" s="108">
        <f t="shared" si="767"/>
        <v>1E-3</v>
      </c>
      <c r="AL463" s="110">
        <f t="shared" si="768"/>
        <v>3</v>
      </c>
      <c r="AM463" s="110">
        <f t="shared" si="769"/>
        <v>1500</v>
      </c>
      <c r="AN463" s="108">
        <f t="shared" si="770"/>
        <v>0.1</v>
      </c>
      <c r="AO463" s="186" t="str">
        <f t="shared" si="680"/>
        <v>NaN</v>
      </c>
    </row>
    <row r="464" spans="1:41" x14ac:dyDescent="0.2">
      <c r="A464" s="3" t="s">
        <v>296</v>
      </c>
      <c r="B464" s="3" t="s">
        <v>296</v>
      </c>
      <c r="C464" s="52">
        <v>2543</v>
      </c>
      <c r="D464" s="105">
        <v>55.928400000000003</v>
      </c>
      <c r="E464" s="105">
        <v>14.3286</v>
      </c>
      <c r="F464" s="20">
        <v>8195</v>
      </c>
      <c r="G464" s="18">
        <v>0</v>
      </c>
      <c r="H464" s="53">
        <v>11</v>
      </c>
      <c r="I464" s="167">
        <f t="shared" si="743"/>
        <v>-0.96899999999999997</v>
      </c>
      <c r="J464" s="104">
        <f t="shared" si="743"/>
        <v>1.093</v>
      </c>
      <c r="K464" s="104">
        <f t="shared" si="743"/>
        <v>4.4999999999999998E-2</v>
      </c>
      <c r="L464" s="105">
        <f t="shared" si="745"/>
        <v>0.21360000000000001</v>
      </c>
      <c r="M464" s="105">
        <f t="shared" si="745"/>
        <v>0.14560000000000001</v>
      </c>
      <c r="N464" s="105">
        <f t="shared" si="745"/>
        <v>0.14910000000000001</v>
      </c>
      <c r="O464" s="20">
        <f t="shared" ref="O464:P464" si="773">ROUND(0.415*O440+0.585*O476,0)</f>
        <v>180</v>
      </c>
      <c r="P464" s="20">
        <f t="shared" si="773"/>
        <v>60</v>
      </c>
      <c r="Q464" s="104">
        <f t="shared" si="747"/>
        <v>1E-3</v>
      </c>
      <c r="R464" s="20">
        <f t="shared" ref="R464:S464" si="774">ROUND(0.415*R440+0.585*R476,0)</f>
        <v>3</v>
      </c>
      <c r="S464" s="20">
        <f t="shared" si="774"/>
        <v>1500</v>
      </c>
      <c r="T464" s="104">
        <f t="shared" si="749"/>
        <v>0.1</v>
      </c>
      <c r="U464" s="54" t="s">
        <v>282</v>
      </c>
      <c r="V464" s="21"/>
      <c r="W464" s="58">
        <f t="shared" si="732"/>
        <v>2543</v>
      </c>
      <c r="X464" s="102">
        <f t="shared" si="733"/>
        <v>55.928400000000003</v>
      </c>
      <c r="Y464" s="102">
        <f t="shared" si="734"/>
        <v>14.3286</v>
      </c>
      <c r="Z464" s="21">
        <f t="shared" si="735"/>
        <v>8195</v>
      </c>
      <c r="AA464" s="44">
        <f t="shared" si="736"/>
        <v>0</v>
      </c>
      <c r="AB464" s="21">
        <f t="shared" si="710"/>
        <v>11</v>
      </c>
      <c r="AC464" s="119">
        <f>ROUND(I464+mwreg!$G$46/100,3)</f>
        <v>-0.81799999999999995</v>
      </c>
      <c r="AD464" s="108">
        <f>ROUND(J464+mwreg!$G$46/100,3)</f>
        <v>1.244</v>
      </c>
      <c r="AE464" s="108">
        <f>ROUND(K464+mwreg!$G$46/100,3)</f>
        <v>0.19600000000000001</v>
      </c>
      <c r="AF464" s="102">
        <f t="shared" si="708"/>
        <v>0.21360000000000001</v>
      </c>
      <c r="AG464" s="102">
        <f t="shared" si="709"/>
        <v>0.14560000000000001</v>
      </c>
      <c r="AH464" s="109">
        <f t="shared" si="764"/>
        <v>0.14910000000000001</v>
      </c>
      <c r="AI464" s="110">
        <f t="shared" si="765"/>
        <v>180</v>
      </c>
      <c r="AJ464" s="110">
        <f t="shared" si="766"/>
        <v>60</v>
      </c>
      <c r="AK464" s="108">
        <f t="shared" si="767"/>
        <v>1E-3</v>
      </c>
      <c r="AL464" s="110">
        <f t="shared" si="768"/>
        <v>3</v>
      </c>
      <c r="AM464" s="110">
        <f t="shared" si="769"/>
        <v>1500</v>
      </c>
      <c r="AN464" s="108">
        <f t="shared" si="770"/>
        <v>0.1</v>
      </c>
      <c r="AO464" s="186" t="str">
        <f t="shared" si="680"/>
        <v>NaN</v>
      </c>
    </row>
    <row r="465" spans="1:41" x14ac:dyDescent="0.2">
      <c r="A465" s="3" t="s">
        <v>296</v>
      </c>
      <c r="B465" s="3" t="s">
        <v>296</v>
      </c>
      <c r="C465" s="52">
        <v>2543</v>
      </c>
      <c r="D465" s="105">
        <v>55.928400000000003</v>
      </c>
      <c r="E465" s="105">
        <v>14.3286</v>
      </c>
      <c r="F465" s="20">
        <v>8195</v>
      </c>
      <c r="G465" s="18">
        <v>0</v>
      </c>
      <c r="H465" s="53">
        <v>12</v>
      </c>
      <c r="I465" s="167">
        <f t="shared" si="743"/>
        <v>-1.143</v>
      </c>
      <c r="J465" s="104">
        <f t="shared" si="743"/>
        <v>1.004</v>
      </c>
      <c r="K465" s="104">
        <f t="shared" si="743"/>
        <v>6.3E-2</v>
      </c>
      <c r="L465" s="105">
        <f t="shared" si="745"/>
        <v>0.21929999999999999</v>
      </c>
      <c r="M465" s="105">
        <f t="shared" si="745"/>
        <v>3.9699999999999999E-2</v>
      </c>
      <c r="N465" s="105">
        <f t="shared" si="745"/>
        <v>4.3099999999999999E-2</v>
      </c>
      <c r="O465" s="20">
        <f t="shared" ref="O465:P465" si="775">ROUND(0.415*O441+0.585*O477,0)</f>
        <v>180</v>
      </c>
      <c r="P465" s="20">
        <f t="shared" si="775"/>
        <v>60</v>
      </c>
      <c r="Q465" s="104">
        <f t="shared" si="747"/>
        <v>1E-3</v>
      </c>
      <c r="R465" s="20">
        <f t="shared" ref="R465:S465" si="776">ROUND(0.415*R441+0.585*R477,0)</f>
        <v>3</v>
      </c>
      <c r="S465" s="20">
        <f t="shared" si="776"/>
        <v>1500</v>
      </c>
      <c r="T465" s="104">
        <f t="shared" si="749"/>
        <v>0.1</v>
      </c>
      <c r="U465" s="54" t="s">
        <v>282</v>
      </c>
      <c r="V465" s="21"/>
      <c r="W465" s="58">
        <f t="shared" si="732"/>
        <v>2543</v>
      </c>
      <c r="X465" s="102">
        <f t="shared" si="733"/>
        <v>55.928400000000003</v>
      </c>
      <c r="Y465" s="102">
        <f t="shared" si="734"/>
        <v>14.3286</v>
      </c>
      <c r="Z465" s="21">
        <f t="shared" si="735"/>
        <v>8195</v>
      </c>
      <c r="AA465" s="44">
        <f t="shared" si="736"/>
        <v>0</v>
      </c>
      <c r="AB465" s="21">
        <f t="shared" si="710"/>
        <v>12</v>
      </c>
      <c r="AC465" s="119">
        <f>ROUND(I465+mwreg!$G$46/100,3)</f>
        <v>-0.99199999999999999</v>
      </c>
      <c r="AD465" s="108">
        <f>ROUND(J465+mwreg!$G$46/100,3)</f>
        <v>1.155</v>
      </c>
      <c r="AE465" s="108">
        <f>ROUND(K465+mwreg!$G$46/100,3)</f>
        <v>0.214</v>
      </c>
      <c r="AF465" s="102">
        <f t="shared" si="708"/>
        <v>0.21929999999999999</v>
      </c>
      <c r="AG465" s="102">
        <f t="shared" si="709"/>
        <v>3.9699999999999999E-2</v>
      </c>
      <c r="AH465" s="109">
        <f t="shared" si="764"/>
        <v>4.3099999999999999E-2</v>
      </c>
      <c r="AI465" s="110">
        <f t="shared" si="765"/>
        <v>180</v>
      </c>
      <c r="AJ465" s="110">
        <f t="shared" si="766"/>
        <v>60</v>
      </c>
      <c r="AK465" s="108">
        <f t="shared" si="767"/>
        <v>1E-3</v>
      </c>
      <c r="AL465" s="110">
        <f t="shared" si="768"/>
        <v>3</v>
      </c>
      <c r="AM465" s="110">
        <f t="shared" si="769"/>
        <v>1500</v>
      </c>
      <c r="AN465" s="108">
        <f t="shared" si="770"/>
        <v>0.1</v>
      </c>
      <c r="AO465" s="186" t="str">
        <f t="shared" si="680"/>
        <v>NaN</v>
      </c>
    </row>
    <row r="466" spans="1:41" x14ac:dyDescent="0.2">
      <c r="A466" s="3" t="str">
        <f>stat_uppg!A47</f>
        <v>2320/33064</v>
      </c>
      <c r="B466" s="3" t="str">
        <f>stat_uppg!B47</f>
        <v>SIMRISHAMN (SMHI)</v>
      </c>
      <c r="C466" s="125">
        <v>2320</v>
      </c>
      <c r="D466" s="129">
        <v>55.557499999999997</v>
      </c>
      <c r="E466" s="129">
        <v>14.357799999999999</v>
      </c>
      <c r="F466" s="136">
        <v>8195</v>
      </c>
      <c r="G466" s="126">
        <v>0</v>
      </c>
      <c r="H466" s="127">
        <v>1</v>
      </c>
      <c r="I466" s="168">
        <v>-1.1240000000000001</v>
      </c>
      <c r="J466" s="128">
        <v>1.226</v>
      </c>
      <c r="K466" s="128">
        <v>0.111</v>
      </c>
      <c r="L466" s="129">
        <v>0.25459999999999999</v>
      </c>
      <c r="M466" s="129">
        <v>5.0200000000000002E-2</v>
      </c>
      <c r="N466" s="129">
        <v>5.3999999999999999E-2</v>
      </c>
      <c r="O466" s="136">
        <v>180</v>
      </c>
      <c r="P466" s="136">
        <v>60</v>
      </c>
      <c r="Q466" s="128">
        <v>1E-3</v>
      </c>
      <c r="R466" s="136">
        <v>3</v>
      </c>
      <c r="S466" s="136">
        <v>1500</v>
      </c>
      <c r="T466" s="128">
        <v>0.1</v>
      </c>
      <c r="U466" s="127">
        <v>173386</v>
      </c>
      <c r="V466" s="130"/>
      <c r="W466" s="131">
        <f t="shared" si="732"/>
        <v>2320</v>
      </c>
      <c r="X466" s="132">
        <f t="shared" si="733"/>
        <v>55.557499999999997</v>
      </c>
      <c r="Y466" s="132">
        <f t="shared" si="734"/>
        <v>14.357799999999999</v>
      </c>
      <c r="Z466" s="133">
        <f t="shared" si="735"/>
        <v>8195</v>
      </c>
      <c r="AA466" s="130">
        <f t="shared" si="736"/>
        <v>0</v>
      </c>
      <c r="AB466" s="133">
        <f t="shared" si="710"/>
        <v>1</v>
      </c>
      <c r="AC466" s="137">
        <f>ROUND(I466+mwreg!$G$47/100,3)</f>
        <v>-0.96399999999999997</v>
      </c>
      <c r="AD466" s="134">
        <f>ROUND(J466+mwreg!$G$47/100,3)</f>
        <v>1.3859999999999999</v>
      </c>
      <c r="AE466" s="134">
        <f>ROUND(K466+mwreg!$G$47/100,3)</f>
        <v>0.27100000000000002</v>
      </c>
      <c r="AF466" s="100">
        <f t="shared" si="708"/>
        <v>0.25459999999999999</v>
      </c>
      <c r="AG466" s="100">
        <f t="shared" si="709"/>
        <v>5.0200000000000002E-2</v>
      </c>
      <c r="AH466" s="164">
        <f t="shared" si="764"/>
        <v>5.3999999999999999E-2</v>
      </c>
      <c r="AI466" s="135">
        <f t="shared" si="765"/>
        <v>180</v>
      </c>
      <c r="AJ466" s="135">
        <f t="shared" si="766"/>
        <v>60</v>
      </c>
      <c r="AK466" s="134">
        <f t="shared" si="767"/>
        <v>1E-3</v>
      </c>
      <c r="AL466" s="135">
        <f t="shared" si="768"/>
        <v>3</v>
      </c>
      <c r="AM466" s="135">
        <f t="shared" si="769"/>
        <v>1500</v>
      </c>
      <c r="AN466" s="134">
        <f t="shared" si="770"/>
        <v>0.1</v>
      </c>
      <c r="AO466" s="187">
        <f t="shared" si="680"/>
        <v>173386</v>
      </c>
    </row>
    <row r="467" spans="1:41" x14ac:dyDescent="0.2">
      <c r="A467" s="3" t="s">
        <v>296</v>
      </c>
      <c r="B467" s="3" t="s">
        <v>296</v>
      </c>
      <c r="C467" s="125">
        <v>2320</v>
      </c>
      <c r="D467" s="129">
        <v>55.557499999999997</v>
      </c>
      <c r="E467" s="129">
        <v>14.357799999999999</v>
      </c>
      <c r="F467" s="136">
        <v>8195</v>
      </c>
      <c r="G467" s="126">
        <v>0</v>
      </c>
      <c r="H467" s="127">
        <v>2</v>
      </c>
      <c r="I467" s="168">
        <v>-1.1379999999999999</v>
      </c>
      <c r="J467" s="128">
        <v>0.99299999999999999</v>
      </c>
      <c r="K467" s="128">
        <v>6.9000000000000006E-2</v>
      </c>
      <c r="L467" s="129">
        <v>0.26629999999999998</v>
      </c>
      <c r="M467" s="129">
        <v>3.5499999999999997E-2</v>
      </c>
      <c r="N467" s="129">
        <v>3.9E-2</v>
      </c>
      <c r="O467" s="136">
        <v>180</v>
      </c>
      <c r="P467" s="136">
        <v>60</v>
      </c>
      <c r="Q467" s="128">
        <v>1E-3</v>
      </c>
      <c r="R467" s="136">
        <v>3</v>
      </c>
      <c r="S467" s="136">
        <v>1500</v>
      </c>
      <c r="T467" s="128">
        <v>0.1</v>
      </c>
      <c r="U467" s="127">
        <v>143849</v>
      </c>
      <c r="V467" s="130"/>
      <c r="W467" s="131">
        <f t="shared" si="732"/>
        <v>2320</v>
      </c>
      <c r="X467" s="132">
        <f t="shared" si="733"/>
        <v>55.557499999999997</v>
      </c>
      <c r="Y467" s="132">
        <f t="shared" si="734"/>
        <v>14.357799999999999</v>
      </c>
      <c r="Z467" s="133">
        <f t="shared" si="735"/>
        <v>8195</v>
      </c>
      <c r="AA467" s="130">
        <f t="shared" si="736"/>
        <v>0</v>
      </c>
      <c r="AB467" s="133">
        <f t="shared" si="710"/>
        <v>2</v>
      </c>
      <c r="AC467" s="137">
        <f>ROUND(I467+mwreg!$G$47/100,3)</f>
        <v>-0.97799999999999998</v>
      </c>
      <c r="AD467" s="134">
        <f>ROUND(J467+mwreg!$G$47/100,3)</f>
        <v>1.153</v>
      </c>
      <c r="AE467" s="134">
        <f>ROUND(K467+mwreg!$G$47/100,3)</f>
        <v>0.22900000000000001</v>
      </c>
      <c r="AF467" s="100">
        <f t="shared" si="708"/>
        <v>0.26629999999999998</v>
      </c>
      <c r="AG467" s="100">
        <f t="shared" si="709"/>
        <v>3.5499999999999997E-2</v>
      </c>
      <c r="AH467" s="164">
        <f t="shared" si="764"/>
        <v>3.9E-2</v>
      </c>
      <c r="AI467" s="135">
        <f t="shared" si="765"/>
        <v>180</v>
      </c>
      <c r="AJ467" s="135">
        <f t="shared" si="766"/>
        <v>60</v>
      </c>
      <c r="AK467" s="134">
        <f t="shared" si="767"/>
        <v>1E-3</v>
      </c>
      <c r="AL467" s="135">
        <f t="shared" si="768"/>
        <v>3</v>
      </c>
      <c r="AM467" s="135">
        <f t="shared" si="769"/>
        <v>1500</v>
      </c>
      <c r="AN467" s="134">
        <f t="shared" si="770"/>
        <v>0.1</v>
      </c>
      <c r="AO467" s="187">
        <f t="shared" si="680"/>
        <v>143849</v>
      </c>
    </row>
    <row r="468" spans="1:41" x14ac:dyDescent="0.2">
      <c r="A468" s="3" t="s">
        <v>296</v>
      </c>
      <c r="B468" s="3" t="s">
        <v>296</v>
      </c>
      <c r="C468" s="125">
        <v>2320</v>
      </c>
      <c r="D468" s="129">
        <v>55.557499999999997</v>
      </c>
      <c r="E468" s="129">
        <v>14.357799999999999</v>
      </c>
      <c r="F468" s="136">
        <v>8195</v>
      </c>
      <c r="G468" s="126">
        <v>0</v>
      </c>
      <c r="H468" s="127">
        <v>3</v>
      </c>
      <c r="I468" s="168">
        <v>-0.85099999999999998</v>
      </c>
      <c r="J468" s="128">
        <v>0.82699999999999996</v>
      </c>
      <c r="K468" s="128">
        <v>1.7999999999999999E-2</v>
      </c>
      <c r="L468" s="129">
        <v>0.223</v>
      </c>
      <c r="M468" s="129">
        <v>4.5499999999999999E-2</v>
      </c>
      <c r="N468" s="129">
        <v>4.9000000000000002E-2</v>
      </c>
      <c r="O468" s="136">
        <v>180</v>
      </c>
      <c r="P468" s="136">
        <v>60</v>
      </c>
      <c r="Q468" s="128">
        <v>1E-3</v>
      </c>
      <c r="R468" s="136">
        <v>3</v>
      </c>
      <c r="S468" s="136">
        <v>1500</v>
      </c>
      <c r="T468" s="128">
        <v>0.1</v>
      </c>
      <c r="U468" s="127">
        <v>190832</v>
      </c>
      <c r="V468" s="130"/>
      <c r="W468" s="131">
        <f t="shared" si="732"/>
        <v>2320</v>
      </c>
      <c r="X468" s="132">
        <f t="shared" si="733"/>
        <v>55.557499999999997</v>
      </c>
      <c r="Y468" s="132">
        <f t="shared" si="734"/>
        <v>14.357799999999999</v>
      </c>
      <c r="Z468" s="133">
        <f t="shared" si="735"/>
        <v>8195</v>
      </c>
      <c r="AA468" s="130">
        <f t="shared" si="736"/>
        <v>0</v>
      </c>
      <c r="AB468" s="133">
        <f t="shared" si="710"/>
        <v>3</v>
      </c>
      <c r="AC468" s="137">
        <f>ROUND(I468+mwreg!$G$47/100,3)</f>
        <v>-0.69099999999999995</v>
      </c>
      <c r="AD468" s="134">
        <f>ROUND(J468+mwreg!$G$47/100,3)</f>
        <v>0.98699999999999999</v>
      </c>
      <c r="AE468" s="134">
        <f>ROUND(K468+mwreg!$G$47/100,3)</f>
        <v>0.17799999999999999</v>
      </c>
      <c r="AF468" s="100">
        <f t="shared" si="708"/>
        <v>0.223</v>
      </c>
      <c r="AG468" s="100">
        <f t="shared" si="709"/>
        <v>4.5499999999999999E-2</v>
      </c>
      <c r="AH468" s="164">
        <f t="shared" si="764"/>
        <v>4.9000000000000002E-2</v>
      </c>
      <c r="AI468" s="135">
        <f t="shared" si="765"/>
        <v>180</v>
      </c>
      <c r="AJ468" s="135">
        <f t="shared" si="766"/>
        <v>60</v>
      </c>
      <c r="AK468" s="134">
        <f t="shared" si="767"/>
        <v>1E-3</v>
      </c>
      <c r="AL468" s="135">
        <f t="shared" si="768"/>
        <v>3</v>
      </c>
      <c r="AM468" s="135">
        <f t="shared" si="769"/>
        <v>1500</v>
      </c>
      <c r="AN468" s="134">
        <f t="shared" si="770"/>
        <v>0.1</v>
      </c>
      <c r="AO468" s="187">
        <f t="shared" si="680"/>
        <v>190832</v>
      </c>
    </row>
    <row r="469" spans="1:41" x14ac:dyDescent="0.2">
      <c r="A469" s="3" t="s">
        <v>296</v>
      </c>
      <c r="B469" s="3" t="s">
        <v>296</v>
      </c>
      <c r="C469" s="125">
        <v>2320</v>
      </c>
      <c r="D469" s="129">
        <v>55.557499999999997</v>
      </c>
      <c r="E469" s="129">
        <v>14.357799999999999</v>
      </c>
      <c r="F469" s="136">
        <v>8195</v>
      </c>
      <c r="G469" s="126">
        <v>0</v>
      </c>
      <c r="H469" s="127">
        <v>4</v>
      </c>
      <c r="I469" s="168">
        <v>-0.66700000000000004</v>
      </c>
      <c r="J469" s="128">
        <v>0.93100000000000005</v>
      </c>
      <c r="K469" s="128">
        <v>-5.5E-2</v>
      </c>
      <c r="L469" s="129">
        <v>0.1537</v>
      </c>
      <c r="M469" s="129">
        <v>9.0800000000000006E-2</v>
      </c>
      <c r="N469" s="129">
        <v>9.4E-2</v>
      </c>
      <c r="O469" s="136">
        <v>180</v>
      </c>
      <c r="P469" s="136">
        <v>60</v>
      </c>
      <c r="Q469" s="128">
        <v>1E-3</v>
      </c>
      <c r="R469" s="136">
        <v>3</v>
      </c>
      <c r="S469" s="136">
        <v>1500</v>
      </c>
      <c r="T469" s="128">
        <v>0.1</v>
      </c>
      <c r="U469" s="127">
        <v>188702</v>
      </c>
      <c r="V469" s="130"/>
      <c r="W469" s="131">
        <f t="shared" si="732"/>
        <v>2320</v>
      </c>
      <c r="X469" s="132">
        <f t="shared" si="733"/>
        <v>55.557499999999997</v>
      </c>
      <c r="Y469" s="132">
        <f t="shared" si="734"/>
        <v>14.357799999999999</v>
      </c>
      <c r="Z469" s="133">
        <f t="shared" si="735"/>
        <v>8195</v>
      </c>
      <c r="AA469" s="130">
        <f t="shared" si="736"/>
        <v>0</v>
      </c>
      <c r="AB469" s="133">
        <f t="shared" si="710"/>
        <v>4</v>
      </c>
      <c r="AC469" s="137">
        <f>ROUND(I469+mwreg!$G$47/100,3)</f>
        <v>-0.50700000000000001</v>
      </c>
      <c r="AD469" s="134">
        <f>ROUND(J469+mwreg!$G$47/100,3)</f>
        <v>1.091</v>
      </c>
      <c r="AE469" s="134">
        <f>ROUND(K469+mwreg!$G$47/100,3)</f>
        <v>0.105</v>
      </c>
      <c r="AF469" s="100">
        <f t="shared" si="708"/>
        <v>0.1537</v>
      </c>
      <c r="AG469" s="100">
        <f t="shared" si="709"/>
        <v>9.0800000000000006E-2</v>
      </c>
      <c r="AH469" s="164">
        <f t="shared" si="764"/>
        <v>9.4E-2</v>
      </c>
      <c r="AI469" s="135">
        <f t="shared" si="765"/>
        <v>180</v>
      </c>
      <c r="AJ469" s="135">
        <f t="shared" si="766"/>
        <v>60</v>
      </c>
      <c r="AK469" s="134">
        <f t="shared" si="767"/>
        <v>1E-3</v>
      </c>
      <c r="AL469" s="135">
        <f t="shared" si="768"/>
        <v>3</v>
      </c>
      <c r="AM469" s="135">
        <f t="shared" si="769"/>
        <v>1500</v>
      </c>
      <c r="AN469" s="134">
        <f t="shared" si="770"/>
        <v>0.1</v>
      </c>
      <c r="AO469" s="187">
        <f t="shared" si="680"/>
        <v>188702</v>
      </c>
    </row>
    <row r="470" spans="1:41" x14ac:dyDescent="0.2">
      <c r="A470" s="3" t="s">
        <v>296</v>
      </c>
      <c r="B470" s="3" t="s">
        <v>296</v>
      </c>
      <c r="C470" s="125">
        <v>2320</v>
      </c>
      <c r="D470" s="129">
        <v>55.557499999999997</v>
      </c>
      <c r="E470" s="129">
        <v>14.357799999999999</v>
      </c>
      <c r="F470" s="136">
        <v>8195</v>
      </c>
      <c r="G470" s="126">
        <v>0</v>
      </c>
      <c r="H470" s="127">
        <v>5</v>
      </c>
      <c r="I470" s="168">
        <v>-0.53400000000000003</v>
      </c>
      <c r="J470" s="128">
        <v>0.36199999999999999</v>
      </c>
      <c r="K470" s="128">
        <v>-4.5999999999999999E-2</v>
      </c>
      <c r="L470" s="129">
        <v>0.1177</v>
      </c>
      <c r="M470" s="129">
        <v>8.4699999999999998E-2</v>
      </c>
      <c r="N470" s="129">
        <v>8.7999999999999995E-2</v>
      </c>
      <c r="O470" s="136">
        <v>180</v>
      </c>
      <c r="P470" s="136">
        <v>60</v>
      </c>
      <c r="Q470" s="128">
        <v>1E-3</v>
      </c>
      <c r="R470" s="136">
        <v>3</v>
      </c>
      <c r="S470" s="136">
        <v>1500</v>
      </c>
      <c r="T470" s="128">
        <v>0.1</v>
      </c>
      <c r="U470" s="127">
        <v>199581</v>
      </c>
      <c r="V470" s="130"/>
      <c r="W470" s="131">
        <f t="shared" si="732"/>
        <v>2320</v>
      </c>
      <c r="X470" s="132">
        <f t="shared" si="733"/>
        <v>55.557499999999997</v>
      </c>
      <c r="Y470" s="132">
        <f t="shared" si="734"/>
        <v>14.357799999999999</v>
      </c>
      <c r="Z470" s="133">
        <f t="shared" si="735"/>
        <v>8195</v>
      </c>
      <c r="AA470" s="130">
        <f t="shared" si="736"/>
        <v>0</v>
      </c>
      <c r="AB470" s="133">
        <f t="shared" si="710"/>
        <v>5</v>
      </c>
      <c r="AC470" s="137">
        <f>ROUND(I470+mwreg!$G$47/100,3)</f>
        <v>-0.374</v>
      </c>
      <c r="AD470" s="134">
        <f>ROUND(J470+mwreg!$G$47/100,3)</f>
        <v>0.52200000000000002</v>
      </c>
      <c r="AE470" s="134">
        <f>ROUND(K470+mwreg!$G$47/100,3)</f>
        <v>0.114</v>
      </c>
      <c r="AF470" s="100">
        <f t="shared" si="708"/>
        <v>0.1177</v>
      </c>
      <c r="AG470" s="100">
        <f t="shared" si="709"/>
        <v>8.4699999999999998E-2</v>
      </c>
      <c r="AH470" s="164">
        <f t="shared" si="764"/>
        <v>8.7999999999999995E-2</v>
      </c>
      <c r="AI470" s="135">
        <f t="shared" si="765"/>
        <v>180</v>
      </c>
      <c r="AJ470" s="135">
        <f t="shared" si="766"/>
        <v>60</v>
      </c>
      <c r="AK470" s="134">
        <f t="shared" si="767"/>
        <v>1E-3</v>
      </c>
      <c r="AL470" s="135">
        <f t="shared" si="768"/>
        <v>3</v>
      </c>
      <c r="AM470" s="135">
        <f t="shared" si="769"/>
        <v>1500</v>
      </c>
      <c r="AN470" s="134">
        <f t="shared" si="770"/>
        <v>0.1</v>
      </c>
      <c r="AO470" s="187">
        <f t="shared" ref="AO470:AO533" si="777">U470</f>
        <v>199581</v>
      </c>
    </row>
    <row r="471" spans="1:41" x14ac:dyDescent="0.2">
      <c r="A471" s="3" t="s">
        <v>296</v>
      </c>
      <c r="B471" s="3" t="s">
        <v>296</v>
      </c>
      <c r="C471" s="125">
        <v>2320</v>
      </c>
      <c r="D471" s="129">
        <v>55.557499999999997</v>
      </c>
      <c r="E471" s="129">
        <v>14.357799999999999</v>
      </c>
      <c r="F471" s="136">
        <v>8195</v>
      </c>
      <c r="G471" s="126">
        <v>0</v>
      </c>
      <c r="H471" s="127">
        <v>6</v>
      </c>
      <c r="I471" s="168">
        <v>-0.60499999999999998</v>
      </c>
      <c r="J471" s="128">
        <v>0.47899999999999998</v>
      </c>
      <c r="K471" s="128">
        <v>-3.2000000000000001E-2</v>
      </c>
      <c r="L471" s="129">
        <v>0.1096</v>
      </c>
      <c r="M471" s="129">
        <v>8.2900000000000001E-2</v>
      </c>
      <c r="N471" s="129">
        <v>8.5999999999999993E-2</v>
      </c>
      <c r="O471" s="136">
        <v>180</v>
      </c>
      <c r="P471" s="136">
        <v>60</v>
      </c>
      <c r="Q471" s="128">
        <v>1E-3</v>
      </c>
      <c r="R471" s="136">
        <v>3</v>
      </c>
      <c r="S471" s="136">
        <v>1500</v>
      </c>
      <c r="T471" s="128">
        <v>0.1</v>
      </c>
      <c r="U471" s="127">
        <v>184142</v>
      </c>
      <c r="V471" s="130"/>
      <c r="W471" s="131">
        <f t="shared" si="732"/>
        <v>2320</v>
      </c>
      <c r="X471" s="132">
        <f t="shared" si="733"/>
        <v>55.557499999999997</v>
      </c>
      <c r="Y471" s="132">
        <f t="shared" si="734"/>
        <v>14.357799999999999</v>
      </c>
      <c r="Z471" s="133">
        <f t="shared" si="735"/>
        <v>8195</v>
      </c>
      <c r="AA471" s="130">
        <f t="shared" si="736"/>
        <v>0</v>
      </c>
      <c r="AB471" s="133">
        <f t="shared" si="710"/>
        <v>6</v>
      </c>
      <c r="AC471" s="137">
        <f>ROUND(I471+mwreg!$G$47/100,3)</f>
        <v>-0.44500000000000001</v>
      </c>
      <c r="AD471" s="134">
        <f>ROUND(J471+mwreg!$G$47/100,3)</f>
        <v>0.63900000000000001</v>
      </c>
      <c r="AE471" s="134">
        <f>ROUND(K471+mwreg!$G$47/100,3)</f>
        <v>0.128</v>
      </c>
      <c r="AF471" s="100">
        <f t="shared" si="708"/>
        <v>0.1096</v>
      </c>
      <c r="AG471" s="100">
        <f t="shared" si="709"/>
        <v>8.2900000000000001E-2</v>
      </c>
      <c r="AH471" s="164">
        <f t="shared" si="764"/>
        <v>8.5999999999999993E-2</v>
      </c>
      <c r="AI471" s="135">
        <f t="shared" si="765"/>
        <v>180</v>
      </c>
      <c r="AJ471" s="135">
        <f t="shared" si="766"/>
        <v>60</v>
      </c>
      <c r="AK471" s="134">
        <f t="shared" si="767"/>
        <v>1E-3</v>
      </c>
      <c r="AL471" s="135">
        <f t="shared" si="768"/>
        <v>3</v>
      </c>
      <c r="AM471" s="135">
        <f t="shared" si="769"/>
        <v>1500</v>
      </c>
      <c r="AN471" s="134">
        <f t="shared" si="770"/>
        <v>0.1</v>
      </c>
      <c r="AO471" s="187">
        <f t="shared" si="777"/>
        <v>184142</v>
      </c>
    </row>
    <row r="472" spans="1:41" x14ac:dyDescent="0.2">
      <c r="A472" s="3" t="s">
        <v>296</v>
      </c>
      <c r="B472" s="3" t="s">
        <v>296</v>
      </c>
      <c r="C472" s="125">
        <v>2320</v>
      </c>
      <c r="D472" s="129">
        <v>55.557499999999997</v>
      </c>
      <c r="E472" s="129">
        <v>14.357799999999999</v>
      </c>
      <c r="F472" s="136">
        <v>8195</v>
      </c>
      <c r="G472" s="126">
        <v>0</v>
      </c>
      <c r="H472" s="127">
        <v>7</v>
      </c>
      <c r="I472" s="168">
        <v>-0.51900000000000002</v>
      </c>
      <c r="J472" s="128">
        <v>0.498</v>
      </c>
      <c r="K472" s="128">
        <v>5.0999999999999997E-2</v>
      </c>
      <c r="L472" s="129">
        <v>0.1168</v>
      </c>
      <c r="M472" s="129">
        <v>5.0999999999999997E-2</v>
      </c>
      <c r="N472" s="129">
        <v>5.3999999999999999E-2</v>
      </c>
      <c r="O472" s="136">
        <v>180</v>
      </c>
      <c r="P472" s="136">
        <v>60</v>
      </c>
      <c r="Q472" s="128">
        <v>1E-3</v>
      </c>
      <c r="R472" s="136">
        <v>3</v>
      </c>
      <c r="S472" s="136">
        <v>1500</v>
      </c>
      <c r="T472" s="128">
        <v>0.1</v>
      </c>
      <c r="U472" s="127">
        <v>194294</v>
      </c>
      <c r="V472" s="130"/>
      <c r="W472" s="131">
        <f t="shared" si="732"/>
        <v>2320</v>
      </c>
      <c r="X472" s="132">
        <f t="shared" si="733"/>
        <v>55.557499999999997</v>
      </c>
      <c r="Y472" s="132">
        <f t="shared" si="734"/>
        <v>14.357799999999999</v>
      </c>
      <c r="Z472" s="133">
        <f t="shared" si="735"/>
        <v>8195</v>
      </c>
      <c r="AA472" s="130">
        <f t="shared" si="736"/>
        <v>0</v>
      </c>
      <c r="AB472" s="133">
        <f t="shared" si="710"/>
        <v>7</v>
      </c>
      <c r="AC472" s="137">
        <f>ROUND(I472+mwreg!$G$47/100,3)</f>
        <v>-0.35899999999999999</v>
      </c>
      <c r="AD472" s="134">
        <f>ROUND(J472+mwreg!$G$47/100,3)</f>
        <v>0.65800000000000003</v>
      </c>
      <c r="AE472" s="134">
        <f>ROUND(K472+mwreg!$G$47/100,3)</f>
        <v>0.21099999999999999</v>
      </c>
      <c r="AF472" s="100">
        <f t="shared" si="708"/>
        <v>0.1168</v>
      </c>
      <c r="AG472" s="100">
        <f t="shared" si="709"/>
        <v>5.0999999999999997E-2</v>
      </c>
      <c r="AH472" s="164">
        <f t="shared" si="764"/>
        <v>5.3999999999999999E-2</v>
      </c>
      <c r="AI472" s="135">
        <f t="shared" si="765"/>
        <v>180</v>
      </c>
      <c r="AJ472" s="135">
        <f t="shared" si="766"/>
        <v>60</v>
      </c>
      <c r="AK472" s="134">
        <f t="shared" si="767"/>
        <v>1E-3</v>
      </c>
      <c r="AL472" s="135">
        <f t="shared" si="768"/>
        <v>3</v>
      </c>
      <c r="AM472" s="135">
        <f t="shared" si="769"/>
        <v>1500</v>
      </c>
      <c r="AN472" s="134">
        <f t="shared" si="770"/>
        <v>0.1</v>
      </c>
      <c r="AO472" s="187">
        <f t="shared" si="777"/>
        <v>194294</v>
      </c>
    </row>
    <row r="473" spans="1:41" x14ac:dyDescent="0.2">
      <c r="A473" s="3" t="s">
        <v>296</v>
      </c>
      <c r="B473" s="3" t="s">
        <v>296</v>
      </c>
      <c r="C473" s="125">
        <v>2320</v>
      </c>
      <c r="D473" s="129">
        <v>55.557499999999997</v>
      </c>
      <c r="E473" s="129">
        <v>14.357799999999999</v>
      </c>
      <c r="F473" s="136">
        <v>8195</v>
      </c>
      <c r="G473" s="126">
        <v>0</v>
      </c>
      <c r="H473" s="127">
        <v>8</v>
      </c>
      <c r="I473" s="168">
        <v>-0.47099999999999997</v>
      </c>
      <c r="J473" s="128">
        <v>0.63300000000000001</v>
      </c>
      <c r="K473" s="128">
        <v>1.2999999999999999E-2</v>
      </c>
      <c r="L473" s="129">
        <v>0.1128</v>
      </c>
      <c r="M473" s="129">
        <v>4.07E-2</v>
      </c>
      <c r="N473" s="129">
        <v>4.3999999999999997E-2</v>
      </c>
      <c r="O473" s="136">
        <v>180</v>
      </c>
      <c r="P473" s="136">
        <v>60</v>
      </c>
      <c r="Q473" s="128">
        <v>1E-3</v>
      </c>
      <c r="R473" s="136">
        <v>3</v>
      </c>
      <c r="S473" s="136">
        <v>1500</v>
      </c>
      <c r="T473" s="128">
        <v>0.1</v>
      </c>
      <c r="U473" s="127">
        <v>193161</v>
      </c>
      <c r="V473" s="130"/>
      <c r="W473" s="131">
        <f t="shared" si="732"/>
        <v>2320</v>
      </c>
      <c r="X473" s="132">
        <f t="shared" si="733"/>
        <v>55.557499999999997</v>
      </c>
      <c r="Y473" s="132">
        <f t="shared" si="734"/>
        <v>14.357799999999999</v>
      </c>
      <c r="Z473" s="133">
        <f t="shared" si="735"/>
        <v>8195</v>
      </c>
      <c r="AA473" s="130">
        <f t="shared" si="736"/>
        <v>0</v>
      </c>
      <c r="AB473" s="133">
        <f t="shared" si="710"/>
        <v>8</v>
      </c>
      <c r="AC473" s="137">
        <f>ROUND(I473+mwreg!$G$47/100,3)</f>
        <v>-0.311</v>
      </c>
      <c r="AD473" s="134">
        <f>ROUND(J473+mwreg!$G$47/100,3)</f>
        <v>0.79300000000000004</v>
      </c>
      <c r="AE473" s="134">
        <f>ROUND(K473+mwreg!$G$47/100,3)</f>
        <v>0.17299999999999999</v>
      </c>
      <c r="AF473" s="100">
        <f t="shared" si="708"/>
        <v>0.1128</v>
      </c>
      <c r="AG473" s="100">
        <f t="shared" si="709"/>
        <v>4.07E-2</v>
      </c>
      <c r="AH473" s="164">
        <f t="shared" si="764"/>
        <v>4.3999999999999997E-2</v>
      </c>
      <c r="AI473" s="135">
        <f t="shared" si="765"/>
        <v>180</v>
      </c>
      <c r="AJ473" s="135">
        <f t="shared" si="766"/>
        <v>60</v>
      </c>
      <c r="AK473" s="134">
        <f t="shared" si="767"/>
        <v>1E-3</v>
      </c>
      <c r="AL473" s="135">
        <f t="shared" si="768"/>
        <v>3</v>
      </c>
      <c r="AM473" s="135">
        <f t="shared" si="769"/>
        <v>1500</v>
      </c>
      <c r="AN473" s="134">
        <f t="shared" si="770"/>
        <v>0.1</v>
      </c>
      <c r="AO473" s="187">
        <f t="shared" si="777"/>
        <v>193161</v>
      </c>
    </row>
    <row r="474" spans="1:41" x14ac:dyDescent="0.2">
      <c r="A474" s="3" t="s">
        <v>296</v>
      </c>
      <c r="B474" s="3" t="s">
        <v>296</v>
      </c>
      <c r="C474" s="125">
        <v>2320</v>
      </c>
      <c r="D474" s="129">
        <v>55.557499999999997</v>
      </c>
      <c r="E474" s="129">
        <v>14.357799999999999</v>
      </c>
      <c r="F474" s="136">
        <v>8195</v>
      </c>
      <c r="G474" s="126">
        <v>0</v>
      </c>
      <c r="H474" s="127">
        <v>9</v>
      </c>
      <c r="I474" s="168">
        <v>-0.72699999999999998</v>
      </c>
      <c r="J474" s="128">
        <v>0.90300000000000002</v>
      </c>
      <c r="K474" s="128">
        <v>5.7000000000000002E-2</v>
      </c>
      <c r="L474" s="129">
        <v>0.15770000000000001</v>
      </c>
      <c r="M474" s="129">
        <v>3.5900000000000001E-2</v>
      </c>
      <c r="N474" s="129">
        <v>3.9E-2</v>
      </c>
      <c r="O474" s="136">
        <v>180</v>
      </c>
      <c r="P474" s="136">
        <v>60</v>
      </c>
      <c r="Q474" s="128">
        <v>1E-3</v>
      </c>
      <c r="R474" s="136">
        <v>3</v>
      </c>
      <c r="S474" s="136">
        <v>1500</v>
      </c>
      <c r="T474" s="128">
        <v>0.1</v>
      </c>
      <c r="U474" s="127">
        <v>193085</v>
      </c>
      <c r="V474" s="130"/>
      <c r="W474" s="131">
        <f t="shared" si="732"/>
        <v>2320</v>
      </c>
      <c r="X474" s="132">
        <f t="shared" si="733"/>
        <v>55.557499999999997</v>
      </c>
      <c r="Y474" s="132">
        <f t="shared" si="734"/>
        <v>14.357799999999999</v>
      </c>
      <c r="Z474" s="133">
        <f t="shared" si="735"/>
        <v>8195</v>
      </c>
      <c r="AA474" s="130">
        <f t="shared" si="736"/>
        <v>0</v>
      </c>
      <c r="AB474" s="133">
        <f t="shared" si="710"/>
        <v>9</v>
      </c>
      <c r="AC474" s="137">
        <f>ROUND(I474+mwreg!$G$47/100,3)</f>
        <v>-0.56699999999999995</v>
      </c>
      <c r="AD474" s="134">
        <f>ROUND(J474+mwreg!$G$47/100,3)</f>
        <v>1.0629999999999999</v>
      </c>
      <c r="AE474" s="134">
        <f>ROUND(K474+mwreg!$G$47/100,3)</f>
        <v>0.217</v>
      </c>
      <c r="AF474" s="100">
        <f t="shared" si="708"/>
        <v>0.15770000000000001</v>
      </c>
      <c r="AG474" s="100">
        <f t="shared" si="709"/>
        <v>3.5900000000000001E-2</v>
      </c>
      <c r="AH474" s="164">
        <f t="shared" si="764"/>
        <v>3.9E-2</v>
      </c>
      <c r="AI474" s="135">
        <f t="shared" si="765"/>
        <v>180</v>
      </c>
      <c r="AJ474" s="135">
        <f t="shared" si="766"/>
        <v>60</v>
      </c>
      <c r="AK474" s="134">
        <f t="shared" si="767"/>
        <v>1E-3</v>
      </c>
      <c r="AL474" s="135">
        <f t="shared" si="768"/>
        <v>3</v>
      </c>
      <c r="AM474" s="135">
        <f t="shared" si="769"/>
        <v>1500</v>
      </c>
      <c r="AN474" s="134">
        <f t="shared" si="770"/>
        <v>0.1</v>
      </c>
      <c r="AO474" s="187">
        <f t="shared" si="777"/>
        <v>193085</v>
      </c>
    </row>
    <row r="475" spans="1:41" x14ac:dyDescent="0.2">
      <c r="A475" s="3" t="s">
        <v>296</v>
      </c>
      <c r="B475" s="3" t="s">
        <v>296</v>
      </c>
      <c r="C475" s="125">
        <v>2320</v>
      </c>
      <c r="D475" s="129">
        <v>55.557499999999997</v>
      </c>
      <c r="E475" s="129">
        <v>14.357799999999999</v>
      </c>
      <c r="F475" s="136">
        <v>8195</v>
      </c>
      <c r="G475" s="126">
        <v>0</v>
      </c>
      <c r="H475" s="127">
        <v>10</v>
      </c>
      <c r="I475" s="168">
        <v>-1.006</v>
      </c>
      <c r="J475" s="128">
        <v>0.85799999999999998</v>
      </c>
      <c r="K475" s="128">
        <v>3.2000000000000001E-2</v>
      </c>
      <c r="L475" s="129">
        <v>0.1888</v>
      </c>
      <c r="M475" s="129">
        <v>4.6199999999999998E-2</v>
      </c>
      <c r="N475" s="129">
        <v>0.05</v>
      </c>
      <c r="O475" s="136">
        <v>180</v>
      </c>
      <c r="P475" s="136">
        <v>60</v>
      </c>
      <c r="Q475" s="128">
        <v>1E-3</v>
      </c>
      <c r="R475" s="136">
        <v>3</v>
      </c>
      <c r="S475" s="136">
        <v>1500</v>
      </c>
      <c r="T475" s="128">
        <v>0.1</v>
      </c>
      <c r="U475" s="127">
        <v>201541</v>
      </c>
      <c r="V475" s="130"/>
      <c r="W475" s="131">
        <f t="shared" si="732"/>
        <v>2320</v>
      </c>
      <c r="X475" s="132">
        <f t="shared" si="733"/>
        <v>55.557499999999997</v>
      </c>
      <c r="Y475" s="132">
        <f t="shared" si="734"/>
        <v>14.357799999999999</v>
      </c>
      <c r="Z475" s="133">
        <f t="shared" si="735"/>
        <v>8195</v>
      </c>
      <c r="AA475" s="130">
        <f t="shared" si="736"/>
        <v>0</v>
      </c>
      <c r="AB475" s="133">
        <f t="shared" si="710"/>
        <v>10</v>
      </c>
      <c r="AC475" s="137">
        <f>ROUND(I475+mwreg!$G$47/100,3)</f>
        <v>-0.84599999999999997</v>
      </c>
      <c r="AD475" s="134">
        <f>ROUND(J475+mwreg!$G$47/100,3)</f>
        <v>1.018</v>
      </c>
      <c r="AE475" s="134">
        <f>ROUND(K475+mwreg!$G$47/100,3)</f>
        <v>0.192</v>
      </c>
      <c r="AF475" s="100">
        <f t="shared" si="708"/>
        <v>0.1888</v>
      </c>
      <c r="AG475" s="100">
        <f t="shared" si="709"/>
        <v>4.6199999999999998E-2</v>
      </c>
      <c r="AH475" s="164">
        <f t="shared" si="764"/>
        <v>0.05</v>
      </c>
      <c r="AI475" s="135">
        <f t="shared" si="765"/>
        <v>180</v>
      </c>
      <c r="AJ475" s="135">
        <f t="shared" si="766"/>
        <v>60</v>
      </c>
      <c r="AK475" s="134">
        <f t="shared" si="767"/>
        <v>1E-3</v>
      </c>
      <c r="AL475" s="135">
        <f t="shared" si="768"/>
        <v>3</v>
      </c>
      <c r="AM475" s="135">
        <f t="shared" si="769"/>
        <v>1500</v>
      </c>
      <c r="AN475" s="134">
        <f t="shared" si="770"/>
        <v>0.1</v>
      </c>
      <c r="AO475" s="187">
        <f t="shared" si="777"/>
        <v>201541</v>
      </c>
    </row>
    <row r="476" spans="1:41" x14ac:dyDescent="0.2">
      <c r="A476" s="3" t="s">
        <v>296</v>
      </c>
      <c r="B476" s="3" t="s">
        <v>296</v>
      </c>
      <c r="C476" s="125">
        <v>2320</v>
      </c>
      <c r="D476" s="129">
        <v>55.557499999999997</v>
      </c>
      <c r="E476" s="129">
        <v>14.357799999999999</v>
      </c>
      <c r="F476" s="136">
        <v>8195</v>
      </c>
      <c r="G476" s="126">
        <v>0</v>
      </c>
      <c r="H476" s="127">
        <v>11</v>
      </c>
      <c r="I476" s="168">
        <v>-1.0229999999999999</v>
      </c>
      <c r="J476" s="128">
        <v>1.0980000000000001</v>
      </c>
      <c r="K476" s="128">
        <v>4.4999999999999998E-2</v>
      </c>
      <c r="L476" s="129">
        <v>0.21310000000000001</v>
      </c>
      <c r="M476" s="129">
        <v>0.2019</v>
      </c>
      <c r="N476" s="129">
        <v>0.20599999999999999</v>
      </c>
      <c r="O476" s="136">
        <v>180</v>
      </c>
      <c r="P476" s="136">
        <v>60</v>
      </c>
      <c r="Q476" s="128">
        <v>1E-3</v>
      </c>
      <c r="R476" s="136">
        <v>3</v>
      </c>
      <c r="S476" s="136">
        <v>1500</v>
      </c>
      <c r="T476" s="128">
        <v>0.1</v>
      </c>
      <c r="U476" s="127">
        <v>194696</v>
      </c>
      <c r="V476" s="130"/>
      <c r="W476" s="131">
        <f t="shared" si="732"/>
        <v>2320</v>
      </c>
      <c r="X476" s="132">
        <f t="shared" si="733"/>
        <v>55.557499999999997</v>
      </c>
      <c r="Y476" s="132">
        <f t="shared" si="734"/>
        <v>14.357799999999999</v>
      </c>
      <c r="Z476" s="133">
        <f t="shared" si="735"/>
        <v>8195</v>
      </c>
      <c r="AA476" s="130">
        <f t="shared" si="736"/>
        <v>0</v>
      </c>
      <c r="AB476" s="133">
        <f t="shared" si="710"/>
        <v>11</v>
      </c>
      <c r="AC476" s="137">
        <f>ROUND(I476+mwreg!$G$47/100,3)</f>
        <v>-0.86299999999999999</v>
      </c>
      <c r="AD476" s="134">
        <f>ROUND(J476+mwreg!$G$47/100,3)</f>
        <v>1.258</v>
      </c>
      <c r="AE476" s="134">
        <f>ROUND(K476+mwreg!$G$47/100,3)</f>
        <v>0.20499999999999999</v>
      </c>
      <c r="AF476" s="100">
        <f t="shared" si="708"/>
        <v>0.21310000000000001</v>
      </c>
      <c r="AG476" s="100">
        <f t="shared" si="709"/>
        <v>0.2019</v>
      </c>
      <c r="AH476" s="164">
        <f t="shared" si="764"/>
        <v>0.20599999999999999</v>
      </c>
      <c r="AI476" s="135">
        <f t="shared" si="765"/>
        <v>180</v>
      </c>
      <c r="AJ476" s="135">
        <f t="shared" si="766"/>
        <v>60</v>
      </c>
      <c r="AK476" s="134">
        <f t="shared" si="767"/>
        <v>1E-3</v>
      </c>
      <c r="AL476" s="135">
        <f t="shared" si="768"/>
        <v>3</v>
      </c>
      <c r="AM476" s="135">
        <f t="shared" si="769"/>
        <v>1500</v>
      </c>
      <c r="AN476" s="134">
        <f t="shared" si="770"/>
        <v>0.1</v>
      </c>
      <c r="AO476" s="187">
        <f t="shared" si="777"/>
        <v>194696</v>
      </c>
    </row>
    <row r="477" spans="1:41" x14ac:dyDescent="0.2">
      <c r="A477" s="3" t="s">
        <v>296</v>
      </c>
      <c r="B477" s="3" t="s">
        <v>296</v>
      </c>
      <c r="C477" s="125">
        <v>2320</v>
      </c>
      <c r="D477" s="129">
        <v>55.557499999999997</v>
      </c>
      <c r="E477" s="129">
        <v>14.357799999999999</v>
      </c>
      <c r="F477" s="136">
        <v>8195</v>
      </c>
      <c r="G477" s="126">
        <v>0</v>
      </c>
      <c r="H477" s="127">
        <v>12</v>
      </c>
      <c r="I477" s="168">
        <v>-1.29</v>
      </c>
      <c r="J477" s="128">
        <v>0.88800000000000001</v>
      </c>
      <c r="K477" s="128">
        <v>6.0999999999999999E-2</v>
      </c>
      <c r="L477" s="129">
        <v>0.2185</v>
      </c>
      <c r="M477" s="129">
        <v>4.2200000000000001E-2</v>
      </c>
      <c r="N477" s="129">
        <v>4.5999999999999999E-2</v>
      </c>
      <c r="O477" s="136">
        <v>180</v>
      </c>
      <c r="P477" s="136">
        <v>60</v>
      </c>
      <c r="Q477" s="128">
        <v>1E-3</v>
      </c>
      <c r="R477" s="136">
        <v>3</v>
      </c>
      <c r="S477" s="136">
        <v>1500</v>
      </c>
      <c r="T477" s="128">
        <v>0.1</v>
      </c>
      <c r="U477" s="127">
        <v>187330</v>
      </c>
      <c r="V477" s="130"/>
      <c r="W477" s="131">
        <f t="shared" si="732"/>
        <v>2320</v>
      </c>
      <c r="X477" s="132">
        <f t="shared" si="733"/>
        <v>55.557499999999997</v>
      </c>
      <c r="Y477" s="132">
        <f t="shared" si="734"/>
        <v>14.357799999999999</v>
      </c>
      <c r="Z477" s="133">
        <f t="shared" si="735"/>
        <v>8195</v>
      </c>
      <c r="AA477" s="130">
        <f t="shared" si="736"/>
        <v>0</v>
      </c>
      <c r="AB477" s="133">
        <f t="shared" si="710"/>
        <v>12</v>
      </c>
      <c r="AC477" s="137">
        <f>ROUND(I477+mwreg!$G$47/100,3)</f>
        <v>-1.1299999999999999</v>
      </c>
      <c r="AD477" s="134">
        <f>ROUND(J477+mwreg!$G$47/100,3)</f>
        <v>1.048</v>
      </c>
      <c r="AE477" s="134">
        <f>ROUND(K477+mwreg!$G$47/100,3)</f>
        <v>0.221</v>
      </c>
      <c r="AF477" s="100">
        <f t="shared" si="708"/>
        <v>0.2185</v>
      </c>
      <c r="AG477" s="100">
        <f t="shared" si="709"/>
        <v>4.2200000000000001E-2</v>
      </c>
      <c r="AH477" s="164">
        <f t="shared" si="764"/>
        <v>4.5999999999999999E-2</v>
      </c>
      <c r="AI477" s="135">
        <f t="shared" si="765"/>
        <v>180</v>
      </c>
      <c r="AJ477" s="135">
        <f t="shared" si="766"/>
        <v>60</v>
      </c>
      <c r="AK477" s="134">
        <f t="shared" si="767"/>
        <v>1E-3</v>
      </c>
      <c r="AL477" s="135">
        <f t="shared" si="768"/>
        <v>3</v>
      </c>
      <c r="AM477" s="135">
        <f t="shared" si="769"/>
        <v>1500</v>
      </c>
      <c r="AN477" s="134">
        <f t="shared" si="770"/>
        <v>0.1</v>
      </c>
      <c r="AO477" s="187">
        <f t="shared" si="777"/>
        <v>187330</v>
      </c>
    </row>
    <row r="478" spans="1:41" x14ac:dyDescent="0.2">
      <c r="A478" s="3" t="str">
        <f>stat_uppg!A48</f>
        <v>2093/33078</v>
      </c>
      <c r="B478" s="3" t="str">
        <f>stat_uppg!B48</f>
        <v>Ystad (SMHI) nedlagd</v>
      </c>
      <c r="C478" s="52">
        <v>2093</v>
      </c>
      <c r="D478" s="105">
        <v>55.416699999999999</v>
      </c>
      <c r="E478" s="105">
        <v>13.816700000000001</v>
      </c>
      <c r="F478" s="20">
        <v>8195</v>
      </c>
      <c r="G478" s="18">
        <v>0</v>
      </c>
      <c r="H478" s="53">
        <v>1</v>
      </c>
      <c r="I478" s="167">
        <f>ROUND(I490,3)</f>
        <v>-1.274</v>
      </c>
      <c r="J478" s="104">
        <f>ROUND(J490,3)</f>
        <v>1.5069999999999999</v>
      </c>
      <c r="K478" s="104">
        <f t="shared" ref="K478" si="778">ROUND(K490,3)</f>
        <v>9.4E-2</v>
      </c>
      <c r="L478" s="105">
        <f>ROUND(L490,4)</f>
        <v>0.24759999999999999</v>
      </c>
      <c r="M478" s="105" t="s">
        <v>282</v>
      </c>
      <c r="N478" s="105" t="s">
        <v>282</v>
      </c>
      <c r="O478" s="20">
        <f>ROUND(O490,0)</f>
        <v>180</v>
      </c>
      <c r="P478" s="20">
        <f>ROUND(P490,0)</f>
        <v>60</v>
      </c>
      <c r="Q478" s="104">
        <f>ROUND(Q490,3)</f>
        <v>1E-3</v>
      </c>
      <c r="R478" s="20">
        <f>ROUND(R490,0)</f>
        <v>3</v>
      </c>
      <c r="S478" s="20">
        <f>ROUND(S490,0)</f>
        <v>1500</v>
      </c>
      <c r="T478" s="104">
        <f>ROUND(T490,3)</f>
        <v>0.1</v>
      </c>
      <c r="U478" s="53" t="s">
        <v>282</v>
      </c>
      <c r="V478" s="44"/>
      <c r="W478" s="58">
        <f t="shared" si="732"/>
        <v>2093</v>
      </c>
      <c r="X478" s="102">
        <f t="shared" si="733"/>
        <v>55.416699999999999</v>
      </c>
      <c r="Y478" s="102">
        <f t="shared" si="734"/>
        <v>13.816700000000001</v>
      </c>
      <c r="Z478" s="21">
        <f t="shared" si="735"/>
        <v>8195</v>
      </c>
      <c r="AA478" s="44">
        <f t="shared" si="736"/>
        <v>0</v>
      </c>
      <c r="AB478" s="21">
        <f t="shared" si="710"/>
        <v>1</v>
      </c>
      <c r="AC478" s="119">
        <f>ROUND(I478+mwreg!$G$48/100,3)</f>
        <v>-1.1160000000000001</v>
      </c>
      <c r="AD478" s="108">
        <f>ROUND(J478+mwreg!$G$48/100,3)</f>
        <v>1.665</v>
      </c>
      <c r="AE478" s="108">
        <f>ROUND(K478+mwreg!$G$48/100,3)</f>
        <v>0.252</v>
      </c>
      <c r="AF478" s="102">
        <f t="shared" ref="AF478:AF525" si="779">L478</f>
        <v>0.24759999999999999</v>
      </c>
      <c r="AG478" s="102" t="str">
        <f t="shared" ref="AG478:AG525" si="780">M478</f>
        <v>NaN</v>
      </c>
      <c r="AH478" s="109" t="str">
        <f t="shared" si="764"/>
        <v>NaN</v>
      </c>
      <c r="AI478" s="110">
        <f t="shared" si="765"/>
        <v>180</v>
      </c>
      <c r="AJ478" s="110">
        <f t="shared" si="766"/>
        <v>60</v>
      </c>
      <c r="AK478" s="108">
        <f t="shared" si="767"/>
        <v>1E-3</v>
      </c>
      <c r="AL478" s="110">
        <f t="shared" si="768"/>
        <v>3</v>
      </c>
      <c r="AM478" s="110">
        <f t="shared" si="769"/>
        <v>1500</v>
      </c>
      <c r="AN478" s="108">
        <f t="shared" si="770"/>
        <v>0.1</v>
      </c>
      <c r="AO478" s="186" t="str">
        <f t="shared" si="777"/>
        <v>NaN</v>
      </c>
    </row>
    <row r="479" spans="1:41" x14ac:dyDescent="0.2">
      <c r="A479" s="3" t="s">
        <v>296</v>
      </c>
      <c r="B479" s="3" t="s">
        <v>296</v>
      </c>
      <c r="C479" s="52">
        <v>2093</v>
      </c>
      <c r="D479" s="105">
        <v>55.416699999999999</v>
      </c>
      <c r="E479" s="105">
        <v>13.816700000000001</v>
      </c>
      <c r="F479" s="20">
        <v>8195</v>
      </c>
      <c r="G479" s="18">
        <v>0</v>
      </c>
      <c r="H479" s="53">
        <v>2</v>
      </c>
      <c r="I479" s="167">
        <f t="shared" ref="I479:K479" si="781">ROUND(I491,3)</f>
        <v>-1.111</v>
      </c>
      <c r="J479" s="104">
        <f t="shared" si="781"/>
        <v>1.1499999999999999</v>
      </c>
      <c r="K479" s="104">
        <f t="shared" si="781"/>
        <v>5.3999999999999999E-2</v>
      </c>
      <c r="L479" s="105">
        <f t="shared" ref="L479:L489" si="782">ROUND(L491,4)</f>
        <v>0.26500000000000001</v>
      </c>
      <c r="M479" s="105" t="s">
        <v>282</v>
      </c>
      <c r="N479" s="105" t="s">
        <v>282</v>
      </c>
      <c r="O479" s="20">
        <f t="shared" ref="O479:P479" si="783">ROUND(O491,0)</f>
        <v>180</v>
      </c>
      <c r="P479" s="20">
        <f t="shared" si="783"/>
        <v>60</v>
      </c>
      <c r="Q479" s="104">
        <f t="shared" ref="Q479:Q489" si="784">ROUND(Q491,3)</f>
        <v>1E-3</v>
      </c>
      <c r="R479" s="20">
        <f t="shared" ref="R479:S479" si="785">ROUND(R491,0)</f>
        <v>3</v>
      </c>
      <c r="S479" s="20">
        <f t="shared" si="785"/>
        <v>1500</v>
      </c>
      <c r="T479" s="104">
        <f t="shared" ref="T479:T489" si="786">ROUND(T491,3)</f>
        <v>0.1</v>
      </c>
      <c r="U479" s="53" t="s">
        <v>282</v>
      </c>
      <c r="V479" s="44"/>
      <c r="W479" s="58">
        <f t="shared" si="732"/>
        <v>2093</v>
      </c>
      <c r="X479" s="102">
        <f t="shared" si="733"/>
        <v>55.416699999999999</v>
      </c>
      <c r="Y479" s="102">
        <f t="shared" si="734"/>
        <v>13.816700000000001</v>
      </c>
      <c r="Z479" s="21">
        <f t="shared" si="735"/>
        <v>8195</v>
      </c>
      <c r="AA479" s="44">
        <f t="shared" si="736"/>
        <v>0</v>
      </c>
      <c r="AB479" s="21">
        <f t="shared" si="710"/>
        <v>2</v>
      </c>
      <c r="AC479" s="119">
        <f>ROUND(I479+mwreg!$G$48/100,3)</f>
        <v>-0.95299999999999996</v>
      </c>
      <c r="AD479" s="108">
        <f>ROUND(J479+mwreg!$G$48/100,3)</f>
        <v>1.3080000000000001</v>
      </c>
      <c r="AE479" s="108">
        <f>ROUND(K479+mwreg!$G$48/100,3)</f>
        <v>0.21199999999999999</v>
      </c>
      <c r="AF479" s="102">
        <f t="shared" si="779"/>
        <v>0.26500000000000001</v>
      </c>
      <c r="AG479" s="102" t="str">
        <f t="shared" si="780"/>
        <v>NaN</v>
      </c>
      <c r="AH479" s="109" t="str">
        <f t="shared" si="764"/>
        <v>NaN</v>
      </c>
      <c r="AI479" s="110">
        <f t="shared" si="765"/>
        <v>180</v>
      </c>
      <c r="AJ479" s="110">
        <f t="shared" si="766"/>
        <v>60</v>
      </c>
      <c r="AK479" s="108">
        <f t="shared" si="767"/>
        <v>1E-3</v>
      </c>
      <c r="AL479" s="110">
        <f t="shared" si="768"/>
        <v>3</v>
      </c>
      <c r="AM479" s="110">
        <f t="shared" si="769"/>
        <v>1500</v>
      </c>
      <c r="AN479" s="108">
        <f t="shared" si="770"/>
        <v>0.1</v>
      </c>
      <c r="AO479" s="186" t="str">
        <f t="shared" si="777"/>
        <v>NaN</v>
      </c>
    </row>
    <row r="480" spans="1:41" x14ac:dyDescent="0.2">
      <c r="A480" s="3" t="s">
        <v>296</v>
      </c>
      <c r="B480" s="3" t="s">
        <v>296</v>
      </c>
      <c r="C480" s="52">
        <v>2093</v>
      </c>
      <c r="D480" s="105">
        <v>55.416699999999999</v>
      </c>
      <c r="E480" s="105">
        <v>13.816700000000001</v>
      </c>
      <c r="F480" s="20">
        <v>8195</v>
      </c>
      <c r="G480" s="18">
        <v>0</v>
      </c>
      <c r="H480" s="53">
        <v>3</v>
      </c>
      <c r="I480" s="167">
        <f t="shared" ref="I480:K480" si="787">ROUND(I492,3)</f>
        <v>-1.121</v>
      </c>
      <c r="J480" s="104">
        <f t="shared" si="787"/>
        <v>1.153</v>
      </c>
      <c r="K480" s="104">
        <f t="shared" si="787"/>
        <v>2.4E-2</v>
      </c>
      <c r="L480" s="105">
        <f t="shared" si="782"/>
        <v>0.2351</v>
      </c>
      <c r="M480" s="105" t="s">
        <v>282</v>
      </c>
      <c r="N480" s="105" t="s">
        <v>282</v>
      </c>
      <c r="O480" s="20">
        <f t="shared" ref="O480:P480" si="788">ROUND(O492,0)</f>
        <v>180</v>
      </c>
      <c r="P480" s="20">
        <f t="shared" si="788"/>
        <v>60</v>
      </c>
      <c r="Q480" s="104">
        <f t="shared" si="784"/>
        <v>1E-3</v>
      </c>
      <c r="R480" s="20">
        <f t="shared" ref="R480:S480" si="789">ROUND(R492,0)</f>
        <v>3</v>
      </c>
      <c r="S480" s="20">
        <f t="shared" si="789"/>
        <v>1500</v>
      </c>
      <c r="T480" s="104">
        <f t="shared" si="786"/>
        <v>0.1</v>
      </c>
      <c r="U480" s="53" t="s">
        <v>282</v>
      </c>
      <c r="V480" s="44"/>
      <c r="W480" s="58">
        <f t="shared" si="732"/>
        <v>2093</v>
      </c>
      <c r="X480" s="102">
        <f t="shared" si="733"/>
        <v>55.416699999999999</v>
      </c>
      <c r="Y480" s="102">
        <f t="shared" si="734"/>
        <v>13.816700000000001</v>
      </c>
      <c r="Z480" s="21">
        <f t="shared" si="735"/>
        <v>8195</v>
      </c>
      <c r="AA480" s="44">
        <f t="shared" si="736"/>
        <v>0</v>
      </c>
      <c r="AB480" s="21">
        <f t="shared" si="710"/>
        <v>3</v>
      </c>
      <c r="AC480" s="119">
        <f>ROUND(I480+mwreg!$G$48/100,3)</f>
        <v>-0.96299999999999997</v>
      </c>
      <c r="AD480" s="108">
        <f>ROUND(J480+mwreg!$G$48/100,3)</f>
        <v>1.3109999999999999</v>
      </c>
      <c r="AE480" s="108">
        <f>ROUND(K480+mwreg!$G$48/100,3)</f>
        <v>0.182</v>
      </c>
      <c r="AF480" s="102">
        <f t="shared" si="779"/>
        <v>0.2351</v>
      </c>
      <c r="AG480" s="102" t="str">
        <f t="shared" si="780"/>
        <v>NaN</v>
      </c>
      <c r="AH480" s="109" t="str">
        <f t="shared" si="764"/>
        <v>NaN</v>
      </c>
      <c r="AI480" s="110">
        <f t="shared" si="765"/>
        <v>180</v>
      </c>
      <c r="AJ480" s="110">
        <f t="shared" si="766"/>
        <v>60</v>
      </c>
      <c r="AK480" s="108">
        <f t="shared" si="767"/>
        <v>1E-3</v>
      </c>
      <c r="AL480" s="110">
        <f t="shared" si="768"/>
        <v>3</v>
      </c>
      <c r="AM480" s="110">
        <f t="shared" si="769"/>
        <v>1500</v>
      </c>
      <c r="AN480" s="108">
        <f t="shared" si="770"/>
        <v>0.1</v>
      </c>
      <c r="AO480" s="186" t="str">
        <f t="shared" si="777"/>
        <v>NaN</v>
      </c>
    </row>
    <row r="481" spans="1:41" x14ac:dyDescent="0.2">
      <c r="A481" s="3" t="s">
        <v>296</v>
      </c>
      <c r="B481" s="3" t="s">
        <v>296</v>
      </c>
      <c r="C481" s="52">
        <v>2093</v>
      </c>
      <c r="D481" s="105">
        <v>55.416699999999999</v>
      </c>
      <c r="E481" s="105">
        <v>13.816700000000001</v>
      </c>
      <c r="F481" s="20">
        <v>8195</v>
      </c>
      <c r="G481" s="18">
        <v>0</v>
      </c>
      <c r="H481" s="53">
        <v>4</v>
      </c>
      <c r="I481" s="167">
        <f t="shared" ref="I481:K481" si="790">ROUND(I493,3)</f>
        <v>-0.96599999999999997</v>
      </c>
      <c r="J481" s="104">
        <f t="shared" si="790"/>
        <v>0.91</v>
      </c>
      <c r="K481" s="104">
        <f t="shared" si="790"/>
        <v>-5.0999999999999997E-2</v>
      </c>
      <c r="L481" s="105">
        <f t="shared" si="782"/>
        <v>0.16839999999999999</v>
      </c>
      <c r="M481" s="105" t="s">
        <v>282</v>
      </c>
      <c r="N481" s="105" t="s">
        <v>282</v>
      </c>
      <c r="O481" s="20">
        <f t="shared" ref="O481:P481" si="791">ROUND(O493,0)</f>
        <v>180</v>
      </c>
      <c r="P481" s="20">
        <f t="shared" si="791"/>
        <v>60</v>
      </c>
      <c r="Q481" s="104">
        <f t="shared" si="784"/>
        <v>1E-3</v>
      </c>
      <c r="R481" s="20">
        <f t="shared" ref="R481:S481" si="792">ROUND(R493,0)</f>
        <v>3</v>
      </c>
      <c r="S481" s="20">
        <f t="shared" si="792"/>
        <v>1500</v>
      </c>
      <c r="T481" s="104">
        <f t="shared" si="786"/>
        <v>0.1</v>
      </c>
      <c r="U481" s="53" t="s">
        <v>282</v>
      </c>
      <c r="V481" s="44"/>
      <c r="W481" s="58">
        <f t="shared" si="732"/>
        <v>2093</v>
      </c>
      <c r="X481" s="102">
        <f t="shared" si="733"/>
        <v>55.416699999999999</v>
      </c>
      <c r="Y481" s="102">
        <f t="shared" si="734"/>
        <v>13.816700000000001</v>
      </c>
      <c r="Z481" s="21">
        <f t="shared" si="735"/>
        <v>8195</v>
      </c>
      <c r="AA481" s="44">
        <f t="shared" si="736"/>
        <v>0</v>
      </c>
      <c r="AB481" s="21">
        <f t="shared" si="710"/>
        <v>4</v>
      </c>
      <c r="AC481" s="119">
        <f>ROUND(I481+mwreg!$G$48/100,3)</f>
        <v>-0.80800000000000005</v>
      </c>
      <c r="AD481" s="108">
        <f>ROUND(J481+mwreg!$G$48/100,3)</f>
        <v>1.0680000000000001</v>
      </c>
      <c r="AE481" s="108">
        <f>ROUND(K481+mwreg!$G$48/100,3)</f>
        <v>0.107</v>
      </c>
      <c r="AF481" s="102">
        <f t="shared" si="779"/>
        <v>0.16839999999999999</v>
      </c>
      <c r="AG481" s="102" t="str">
        <f t="shared" si="780"/>
        <v>NaN</v>
      </c>
      <c r="AH481" s="109" t="str">
        <f t="shared" si="764"/>
        <v>NaN</v>
      </c>
      <c r="AI481" s="110">
        <f t="shared" si="765"/>
        <v>180</v>
      </c>
      <c r="AJ481" s="110">
        <f t="shared" si="766"/>
        <v>60</v>
      </c>
      <c r="AK481" s="108">
        <f t="shared" si="767"/>
        <v>1E-3</v>
      </c>
      <c r="AL481" s="110">
        <f t="shared" si="768"/>
        <v>3</v>
      </c>
      <c r="AM481" s="110">
        <f t="shared" si="769"/>
        <v>1500</v>
      </c>
      <c r="AN481" s="108">
        <f t="shared" si="770"/>
        <v>0.1</v>
      </c>
      <c r="AO481" s="186" t="str">
        <f t="shared" si="777"/>
        <v>NaN</v>
      </c>
    </row>
    <row r="482" spans="1:41" x14ac:dyDescent="0.2">
      <c r="A482" s="3" t="s">
        <v>296</v>
      </c>
      <c r="B482" s="3" t="s">
        <v>296</v>
      </c>
      <c r="C482" s="52">
        <v>2093</v>
      </c>
      <c r="D482" s="105">
        <v>55.416699999999999</v>
      </c>
      <c r="E482" s="105">
        <v>13.816700000000001</v>
      </c>
      <c r="F482" s="20">
        <v>8195</v>
      </c>
      <c r="G482" s="18">
        <v>0</v>
      </c>
      <c r="H482" s="53">
        <v>5</v>
      </c>
      <c r="I482" s="167">
        <f t="shared" ref="I482:K482" si="793">ROUND(I494,3)</f>
        <v>-0.79800000000000004</v>
      </c>
      <c r="J482" s="104">
        <f t="shared" si="793"/>
        <v>0.496</v>
      </c>
      <c r="K482" s="104">
        <f t="shared" si="793"/>
        <v>-4.7E-2</v>
      </c>
      <c r="L482" s="105">
        <f t="shared" si="782"/>
        <v>0.12839999999999999</v>
      </c>
      <c r="M482" s="105" t="s">
        <v>282</v>
      </c>
      <c r="N482" s="105" t="s">
        <v>282</v>
      </c>
      <c r="O482" s="20">
        <f t="shared" ref="O482:P482" si="794">ROUND(O494,0)</f>
        <v>180</v>
      </c>
      <c r="P482" s="20">
        <f t="shared" si="794"/>
        <v>60</v>
      </c>
      <c r="Q482" s="104">
        <f t="shared" si="784"/>
        <v>1E-3</v>
      </c>
      <c r="R482" s="20">
        <f t="shared" ref="R482:S482" si="795">ROUND(R494,0)</f>
        <v>3</v>
      </c>
      <c r="S482" s="20">
        <f t="shared" si="795"/>
        <v>1500</v>
      </c>
      <c r="T482" s="104">
        <f t="shared" si="786"/>
        <v>0.1</v>
      </c>
      <c r="U482" s="53" t="s">
        <v>282</v>
      </c>
      <c r="V482" s="44"/>
      <c r="W482" s="58">
        <f t="shared" si="732"/>
        <v>2093</v>
      </c>
      <c r="X482" s="102">
        <f t="shared" si="733"/>
        <v>55.416699999999999</v>
      </c>
      <c r="Y482" s="102">
        <f t="shared" si="734"/>
        <v>13.816700000000001</v>
      </c>
      <c r="Z482" s="21">
        <f t="shared" si="735"/>
        <v>8195</v>
      </c>
      <c r="AA482" s="44">
        <f t="shared" si="736"/>
        <v>0</v>
      </c>
      <c r="AB482" s="21">
        <f t="shared" si="710"/>
        <v>5</v>
      </c>
      <c r="AC482" s="119">
        <f>ROUND(I482+mwreg!$G$48/100,3)</f>
        <v>-0.64</v>
      </c>
      <c r="AD482" s="108">
        <f>ROUND(J482+mwreg!$G$48/100,3)</f>
        <v>0.65400000000000003</v>
      </c>
      <c r="AE482" s="108">
        <f>ROUND(K482+mwreg!$G$48/100,3)</f>
        <v>0.111</v>
      </c>
      <c r="AF482" s="102">
        <f t="shared" si="779"/>
        <v>0.12839999999999999</v>
      </c>
      <c r="AG482" s="102" t="str">
        <f t="shared" si="780"/>
        <v>NaN</v>
      </c>
      <c r="AH482" s="109" t="str">
        <f t="shared" si="764"/>
        <v>NaN</v>
      </c>
      <c r="AI482" s="110">
        <f t="shared" si="765"/>
        <v>180</v>
      </c>
      <c r="AJ482" s="110">
        <f t="shared" si="766"/>
        <v>60</v>
      </c>
      <c r="AK482" s="108">
        <f t="shared" si="767"/>
        <v>1E-3</v>
      </c>
      <c r="AL482" s="110">
        <f t="shared" si="768"/>
        <v>3</v>
      </c>
      <c r="AM482" s="110">
        <f t="shared" si="769"/>
        <v>1500</v>
      </c>
      <c r="AN482" s="108">
        <f t="shared" si="770"/>
        <v>0.1</v>
      </c>
      <c r="AO482" s="186" t="str">
        <f t="shared" si="777"/>
        <v>NaN</v>
      </c>
    </row>
    <row r="483" spans="1:41" x14ac:dyDescent="0.2">
      <c r="A483" s="3" t="s">
        <v>296</v>
      </c>
      <c r="B483" s="3" t="s">
        <v>296</v>
      </c>
      <c r="C483" s="52">
        <v>2093</v>
      </c>
      <c r="D483" s="105">
        <v>55.416699999999999</v>
      </c>
      <c r="E483" s="105">
        <v>13.816700000000001</v>
      </c>
      <c r="F483" s="20">
        <v>8195</v>
      </c>
      <c r="G483" s="18">
        <v>0</v>
      </c>
      <c r="H483" s="53">
        <v>6</v>
      </c>
      <c r="I483" s="167">
        <f t="shared" ref="I483:K483" si="796">ROUND(I495,3)</f>
        <v>-1.2150000000000001</v>
      </c>
      <c r="J483" s="104">
        <f t="shared" si="796"/>
        <v>0.81299999999999994</v>
      </c>
      <c r="K483" s="104">
        <f t="shared" si="796"/>
        <v>-0.05</v>
      </c>
      <c r="L483" s="105">
        <f t="shared" si="782"/>
        <v>0.13009999999999999</v>
      </c>
      <c r="M483" s="105" t="s">
        <v>282</v>
      </c>
      <c r="N483" s="105" t="s">
        <v>282</v>
      </c>
      <c r="O483" s="20">
        <f t="shared" ref="O483:P483" si="797">ROUND(O495,0)</f>
        <v>180</v>
      </c>
      <c r="P483" s="20">
        <f t="shared" si="797"/>
        <v>60</v>
      </c>
      <c r="Q483" s="104">
        <f t="shared" si="784"/>
        <v>1E-3</v>
      </c>
      <c r="R483" s="20">
        <f t="shared" ref="R483:S483" si="798">ROUND(R495,0)</f>
        <v>3</v>
      </c>
      <c r="S483" s="20">
        <f t="shared" si="798"/>
        <v>1500</v>
      </c>
      <c r="T483" s="104">
        <f t="shared" si="786"/>
        <v>0.1</v>
      </c>
      <c r="U483" s="53" t="s">
        <v>282</v>
      </c>
      <c r="V483" s="44"/>
      <c r="W483" s="58">
        <f t="shared" si="732"/>
        <v>2093</v>
      </c>
      <c r="X483" s="102">
        <f t="shared" si="733"/>
        <v>55.416699999999999</v>
      </c>
      <c r="Y483" s="102">
        <f t="shared" si="734"/>
        <v>13.816700000000001</v>
      </c>
      <c r="Z483" s="21">
        <f t="shared" si="735"/>
        <v>8195</v>
      </c>
      <c r="AA483" s="44">
        <f t="shared" si="736"/>
        <v>0</v>
      </c>
      <c r="AB483" s="21">
        <f t="shared" si="710"/>
        <v>6</v>
      </c>
      <c r="AC483" s="119">
        <f>ROUND(I483+mwreg!$G$48/100,3)</f>
        <v>-1.0569999999999999</v>
      </c>
      <c r="AD483" s="108">
        <f>ROUND(J483+mwreg!$G$48/100,3)</f>
        <v>0.97099999999999997</v>
      </c>
      <c r="AE483" s="108">
        <f>ROUND(K483+mwreg!$G$48/100,3)</f>
        <v>0.108</v>
      </c>
      <c r="AF483" s="102">
        <f t="shared" si="779"/>
        <v>0.13009999999999999</v>
      </c>
      <c r="AG483" s="102" t="str">
        <f t="shared" si="780"/>
        <v>NaN</v>
      </c>
      <c r="AH483" s="109" t="str">
        <f t="shared" si="764"/>
        <v>NaN</v>
      </c>
      <c r="AI483" s="110">
        <f t="shared" si="765"/>
        <v>180</v>
      </c>
      <c r="AJ483" s="110">
        <f t="shared" si="766"/>
        <v>60</v>
      </c>
      <c r="AK483" s="108">
        <f t="shared" si="767"/>
        <v>1E-3</v>
      </c>
      <c r="AL483" s="110">
        <f t="shared" si="768"/>
        <v>3</v>
      </c>
      <c r="AM483" s="110">
        <f t="shared" si="769"/>
        <v>1500</v>
      </c>
      <c r="AN483" s="108">
        <f t="shared" si="770"/>
        <v>0.1</v>
      </c>
      <c r="AO483" s="186" t="str">
        <f t="shared" si="777"/>
        <v>NaN</v>
      </c>
    </row>
    <row r="484" spans="1:41" x14ac:dyDescent="0.2">
      <c r="A484" s="3" t="s">
        <v>296</v>
      </c>
      <c r="B484" s="3" t="s">
        <v>296</v>
      </c>
      <c r="C484" s="52">
        <v>2093</v>
      </c>
      <c r="D484" s="105">
        <v>55.416699999999999</v>
      </c>
      <c r="E484" s="105">
        <v>13.816700000000001</v>
      </c>
      <c r="F484" s="20">
        <v>8195</v>
      </c>
      <c r="G484" s="18">
        <v>0</v>
      </c>
      <c r="H484" s="53">
        <v>7</v>
      </c>
      <c r="I484" s="167">
        <f t="shared" ref="I484:K484" si="799">ROUND(I496,3)</f>
        <v>-0.63800000000000001</v>
      </c>
      <c r="J484" s="104">
        <f t="shared" si="799"/>
        <v>0.86599999999999999</v>
      </c>
      <c r="K484" s="104">
        <f t="shared" si="799"/>
        <v>4.9000000000000002E-2</v>
      </c>
      <c r="L484" s="105">
        <f t="shared" si="782"/>
        <v>0.1216</v>
      </c>
      <c r="M484" s="105" t="s">
        <v>282</v>
      </c>
      <c r="N484" s="105" t="s">
        <v>282</v>
      </c>
      <c r="O484" s="20">
        <f t="shared" ref="O484:P484" si="800">ROUND(O496,0)</f>
        <v>180</v>
      </c>
      <c r="P484" s="20">
        <f t="shared" si="800"/>
        <v>60</v>
      </c>
      <c r="Q484" s="104">
        <f t="shared" si="784"/>
        <v>1E-3</v>
      </c>
      <c r="R484" s="20">
        <f t="shared" ref="R484:S484" si="801">ROUND(R496,0)</f>
        <v>3</v>
      </c>
      <c r="S484" s="20">
        <f t="shared" si="801"/>
        <v>1500</v>
      </c>
      <c r="T484" s="104">
        <f t="shared" si="786"/>
        <v>0.1</v>
      </c>
      <c r="U484" s="53" t="s">
        <v>282</v>
      </c>
      <c r="V484" s="44"/>
      <c r="W484" s="58">
        <f t="shared" si="732"/>
        <v>2093</v>
      </c>
      <c r="X484" s="102">
        <f t="shared" si="733"/>
        <v>55.416699999999999</v>
      </c>
      <c r="Y484" s="102">
        <f t="shared" si="734"/>
        <v>13.816700000000001</v>
      </c>
      <c r="Z484" s="21">
        <f t="shared" si="735"/>
        <v>8195</v>
      </c>
      <c r="AA484" s="44">
        <f t="shared" si="736"/>
        <v>0</v>
      </c>
      <c r="AB484" s="21">
        <f t="shared" si="710"/>
        <v>7</v>
      </c>
      <c r="AC484" s="119">
        <f>ROUND(I484+mwreg!$G$48/100,3)</f>
        <v>-0.48</v>
      </c>
      <c r="AD484" s="108">
        <f>ROUND(J484+mwreg!$G$48/100,3)</f>
        <v>1.024</v>
      </c>
      <c r="AE484" s="108">
        <f>ROUND(K484+mwreg!$G$48/100,3)</f>
        <v>0.20699999999999999</v>
      </c>
      <c r="AF484" s="102">
        <f t="shared" si="779"/>
        <v>0.1216</v>
      </c>
      <c r="AG484" s="102" t="str">
        <f t="shared" si="780"/>
        <v>NaN</v>
      </c>
      <c r="AH484" s="109" t="str">
        <f t="shared" si="764"/>
        <v>NaN</v>
      </c>
      <c r="AI484" s="110">
        <f t="shared" si="765"/>
        <v>180</v>
      </c>
      <c r="AJ484" s="110">
        <f t="shared" si="766"/>
        <v>60</v>
      </c>
      <c r="AK484" s="108">
        <f t="shared" si="767"/>
        <v>1E-3</v>
      </c>
      <c r="AL484" s="110">
        <f t="shared" si="768"/>
        <v>3</v>
      </c>
      <c r="AM484" s="110">
        <f t="shared" si="769"/>
        <v>1500</v>
      </c>
      <c r="AN484" s="108">
        <f t="shared" si="770"/>
        <v>0.1</v>
      </c>
      <c r="AO484" s="186" t="str">
        <f t="shared" si="777"/>
        <v>NaN</v>
      </c>
    </row>
    <row r="485" spans="1:41" x14ac:dyDescent="0.2">
      <c r="A485" s="3" t="s">
        <v>296</v>
      </c>
      <c r="B485" s="3" t="s">
        <v>296</v>
      </c>
      <c r="C485" s="52">
        <v>2093</v>
      </c>
      <c r="D485" s="105">
        <v>55.416699999999999</v>
      </c>
      <c r="E485" s="105">
        <v>13.816700000000001</v>
      </c>
      <c r="F485" s="20">
        <v>8195</v>
      </c>
      <c r="G485" s="18">
        <v>0</v>
      </c>
      <c r="H485" s="53">
        <v>8</v>
      </c>
      <c r="I485" s="167">
        <f t="shared" ref="I485:K485" si="802">ROUND(I497,3)</f>
        <v>-0.72899999999999998</v>
      </c>
      <c r="J485" s="104">
        <f t="shared" si="802"/>
        <v>0.67300000000000004</v>
      </c>
      <c r="K485" s="104">
        <f t="shared" si="802"/>
        <v>2.3E-2</v>
      </c>
      <c r="L485" s="105">
        <f t="shared" si="782"/>
        <v>0.1234</v>
      </c>
      <c r="M485" s="105" t="s">
        <v>282</v>
      </c>
      <c r="N485" s="105" t="s">
        <v>282</v>
      </c>
      <c r="O485" s="20">
        <f t="shared" ref="O485:P485" si="803">ROUND(O497,0)</f>
        <v>180</v>
      </c>
      <c r="P485" s="20">
        <f t="shared" si="803"/>
        <v>60</v>
      </c>
      <c r="Q485" s="104">
        <f t="shared" si="784"/>
        <v>1E-3</v>
      </c>
      <c r="R485" s="20">
        <f t="shared" ref="R485:S485" si="804">ROUND(R497,0)</f>
        <v>3</v>
      </c>
      <c r="S485" s="20">
        <f t="shared" si="804"/>
        <v>1500</v>
      </c>
      <c r="T485" s="104">
        <f t="shared" si="786"/>
        <v>0.1</v>
      </c>
      <c r="U485" s="53" t="s">
        <v>282</v>
      </c>
      <c r="V485" s="44"/>
      <c r="W485" s="58">
        <f t="shared" si="732"/>
        <v>2093</v>
      </c>
      <c r="X485" s="102">
        <f t="shared" si="733"/>
        <v>55.416699999999999</v>
      </c>
      <c r="Y485" s="102">
        <f t="shared" si="734"/>
        <v>13.816700000000001</v>
      </c>
      <c r="Z485" s="21">
        <f t="shared" si="735"/>
        <v>8195</v>
      </c>
      <c r="AA485" s="44">
        <f t="shared" si="736"/>
        <v>0</v>
      </c>
      <c r="AB485" s="21">
        <f t="shared" si="710"/>
        <v>8</v>
      </c>
      <c r="AC485" s="119">
        <f>ROUND(I485+mwreg!$G$48/100,3)</f>
        <v>-0.57099999999999995</v>
      </c>
      <c r="AD485" s="108">
        <f>ROUND(J485+mwreg!$G$48/100,3)</f>
        <v>0.83099999999999996</v>
      </c>
      <c r="AE485" s="108">
        <f>ROUND(K485+mwreg!$G$48/100,3)</f>
        <v>0.18099999999999999</v>
      </c>
      <c r="AF485" s="102">
        <f t="shared" si="779"/>
        <v>0.1234</v>
      </c>
      <c r="AG485" s="102" t="str">
        <f t="shared" si="780"/>
        <v>NaN</v>
      </c>
      <c r="AH485" s="109" t="str">
        <f t="shared" si="764"/>
        <v>NaN</v>
      </c>
      <c r="AI485" s="110">
        <f t="shared" si="765"/>
        <v>180</v>
      </c>
      <c r="AJ485" s="110">
        <f t="shared" si="766"/>
        <v>60</v>
      </c>
      <c r="AK485" s="108">
        <f t="shared" si="767"/>
        <v>1E-3</v>
      </c>
      <c r="AL485" s="110">
        <f t="shared" si="768"/>
        <v>3</v>
      </c>
      <c r="AM485" s="110">
        <f t="shared" si="769"/>
        <v>1500</v>
      </c>
      <c r="AN485" s="108">
        <f t="shared" si="770"/>
        <v>0.1</v>
      </c>
      <c r="AO485" s="186" t="str">
        <f t="shared" si="777"/>
        <v>NaN</v>
      </c>
    </row>
    <row r="486" spans="1:41" x14ac:dyDescent="0.2">
      <c r="A486" s="3" t="s">
        <v>296</v>
      </c>
      <c r="B486" s="3" t="s">
        <v>296</v>
      </c>
      <c r="C486" s="52">
        <v>2093</v>
      </c>
      <c r="D486" s="105">
        <v>55.416699999999999</v>
      </c>
      <c r="E486" s="105">
        <v>13.816700000000001</v>
      </c>
      <c r="F486" s="20">
        <v>8195</v>
      </c>
      <c r="G486" s="18">
        <v>0</v>
      </c>
      <c r="H486" s="53">
        <v>9</v>
      </c>
      <c r="I486" s="167">
        <f t="shared" ref="I486:K486" si="805">ROUND(I498,3)</f>
        <v>-1.071</v>
      </c>
      <c r="J486" s="104">
        <f t="shared" si="805"/>
        <v>1.0189999999999999</v>
      </c>
      <c r="K486" s="104">
        <f t="shared" si="805"/>
        <v>5.8000000000000003E-2</v>
      </c>
      <c r="L486" s="105">
        <f t="shared" si="782"/>
        <v>0.1736</v>
      </c>
      <c r="M486" s="105" t="s">
        <v>282</v>
      </c>
      <c r="N486" s="105" t="s">
        <v>282</v>
      </c>
      <c r="O486" s="20">
        <f t="shared" ref="O486:P486" si="806">ROUND(O498,0)</f>
        <v>180</v>
      </c>
      <c r="P486" s="20">
        <f t="shared" si="806"/>
        <v>60</v>
      </c>
      <c r="Q486" s="104">
        <f t="shared" si="784"/>
        <v>1E-3</v>
      </c>
      <c r="R486" s="20">
        <f t="shared" ref="R486:S486" si="807">ROUND(R498,0)</f>
        <v>3</v>
      </c>
      <c r="S486" s="20">
        <f t="shared" si="807"/>
        <v>1500</v>
      </c>
      <c r="T486" s="104">
        <f t="shared" si="786"/>
        <v>0.1</v>
      </c>
      <c r="U486" s="53" t="s">
        <v>282</v>
      </c>
      <c r="V486" s="44"/>
      <c r="W486" s="58">
        <f t="shared" si="732"/>
        <v>2093</v>
      </c>
      <c r="X486" s="102">
        <f t="shared" si="733"/>
        <v>55.416699999999999</v>
      </c>
      <c r="Y486" s="102">
        <f t="shared" si="734"/>
        <v>13.816700000000001</v>
      </c>
      <c r="Z486" s="21">
        <f t="shared" si="735"/>
        <v>8195</v>
      </c>
      <c r="AA486" s="44">
        <f t="shared" si="736"/>
        <v>0</v>
      </c>
      <c r="AB486" s="21">
        <f t="shared" si="710"/>
        <v>9</v>
      </c>
      <c r="AC486" s="119">
        <f>ROUND(I486+mwreg!$G$48/100,3)</f>
        <v>-0.91300000000000003</v>
      </c>
      <c r="AD486" s="108">
        <f>ROUND(J486+mwreg!$G$48/100,3)</f>
        <v>1.177</v>
      </c>
      <c r="AE486" s="108">
        <f>ROUND(K486+mwreg!$G$48/100,3)</f>
        <v>0.216</v>
      </c>
      <c r="AF486" s="102">
        <f t="shared" si="779"/>
        <v>0.1736</v>
      </c>
      <c r="AG486" s="102" t="str">
        <f t="shared" si="780"/>
        <v>NaN</v>
      </c>
      <c r="AH486" s="109" t="str">
        <f t="shared" si="764"/>
        <v>NaN</v>
      </c>
      <c r="AI486" s="110">
        <f t="shared" si="765"/>
        <v>180</v>
      </c>
      <c r="AJ486" s="110">
        <f t="shared" si="766"/>
        <v>60</v>
      </c>
      <c r="AK486" s="108">
        <f t="shared" si="767"/>
        <v>1E-3</v>
      </c>
      <c r="AL486" s="110">
        <f t="shared" si="768"/>
        <v>3</v>
      </c>
      <c r="AM486" s="110">
        <f t="shared" si="769"/>
        <v>1500</v>
      </c>
      <c r="AN486" s="108">
        <f t="shared" si="770"/>
        <v>0.1</v>
      </c>
      <c r="AO486" s="186" t="str">
        <f t="shared" si="777"/>
        <v>NaN</v>
      </c>
    </row>
    <row r="487" spans="1:41" x14ac:dyDescent="0.2">
      <c r="A487" s="3" t="s">
        <v>296</v>
      </c>
      <c r="B487" s="3" t="s">
        <v>296</v>
      </c>
      <c r="C487" s="52">
        <v>2093</v>
      </c>
      <c r="D487" s="105">
        <v>55.416699999999999</v>
      </c>
      <c r="E487" s="105">
        <v>13.816700000000001</v>
      </c>
      <c r="F487" s="20">
        <v>8195</v>
      </c>
      <c r="G487" s="18">
        <v>0</v>
      </c>
      <c r="H487" s="53">
        <v>10</v>
      </c>
      <c r="I487" s="167">
        <f t="shared" ref="I487:K487" si="808">ROUND(I499,3)</f>
        <v>-1.29</v>
      </c>
      <c r="J487" s="104">
        <f t="shared" si="808"/>
        <v>1.28</v>
      </c>
      <c r="K487" s="104">
        <f t="shared" si="808"/>
        <v>8.4000000000000005E-2</v>
      </c>
      <c r="L487" s="105">
        <f t="shared" si="782"/>
        <v>0.20610000000000001</v>
      </c>
      <c r="M487" s="105" t="s">
        <v>282</v>
      </c>
      <c r="N487" s="105" t="s">
        <v>282</v>
      </c>
      <c r="O487" s="20">
        <f t="shared" ref="O487:P487" si="809">ROUND(O499,0)</f>
        <v>180</v>
      </c>
      <c r="P487" s="20">
        <f t="shared" si="809"/>
        <v>60</v>
      </c>
      <c r="Q487" s="104">
        <f t="shared" si="784"/>
        <v>1E-3</v>
      </c>
      <c r="R487" s="20">
        <f t="shared" ref="R487:S487" si="810">ROUND(R499,0)</f>
        <v>3</v>
      </c>
      <c r="S487" s="20">
        <f t="shared" si="810"/>
        <v>1500</v>
      </c>
      <c r="T487" s="104">
        <f t="shared" si="786"/>
        <v>0.1</v>
      </c>
      <c r="U487" s="53" t="s">
        <v>282</v>
      </c>
      <c r="V487" s="44"/>
      <c r="W487" s="58">
        <f t="shared" si="732"/>
        <v>2093</v>
      </c>
      <c r="X487" s="102">
        <f t="shared" si="733"/>
        <v>55.416699999999999</v>
      </c>
      <c r="Y487" s="102">
        <f t="shared" si="734"/>
        <v>13.816700000000001</v>
      </c>
      <c r="Z487" s="21">
        <f t="shared" si="735"/>
        <v>8195</v>
      </c>
      <c r="AA487" s="44">
        <f t="shared" si="736"/>
        <v>0</v>
      </c>
      <c r="AB487" s="21">
        <f t="shared" si="710"/>
        <v>10</v>
      </c>
      <c r="AC487" s="119">
        <f>ROUND(I487+mwreg!$G$48/100,3)</f>
        <v>-1.1319999999999999</v>
      </c>
      <c r="AD487" s="108">
        <f>ROUND(J487+mwreg!$G$48/100,3)</f>
        <v>1.4379999999999999</v>
      </c>
      <c r="AE487" s="108">
        <f>ROUND(K487+mwreg!$G$48/100,3)</f>
        <v>0.24199999999999999</v>
      </c>
      <c r="AF487" s="102">
        <f t="shared" si="779"/>
        <v>0.20610000000000001</v>
      </c>
      <c r="AG487" s="102" t="str">
        <f t="shared" si="780"/>
        <v>NaN</v>
      </c>
      <c r="AH487" s="109" t="str">
        <f t="shared" si="764"/>
        <v>NaN</v>
      </c>
      <c r="AI487" s="110">
        <f t="shared" si="765"/>
        <v>180</v>
      </c>
      <c r="AJ487" s="110">
        <f t="shared" si="766"/>
        <v>60</v>
      </c>
      <c r="AK487" s="108">
        <f t="shared" si="767"/>
        <v>1E-3</v>
      </c>
      <c r="AL487" s="110">
        <f t="shared" si="768"/>
        <v>3</v>
      </c>
      <c r="AM487" s="110">
        <f t="shared" si="769"/>
        <v>1500</v>
      </c>
      <c r="AN487" s="108">
        <f t="shared" si="770"/>
        <v>0.1</v>
      </c>
      <c r="AO487" s="186" t="str">
        <f t="shared" si="777"/>
        <v>NaN</v>
      </c>
    </row>
    <row r="488" spans="1:41" x14ac:dyDescent="0.2">
      <c r="A488" s="3" t="s">
        <v>296</v>
      </c>
      <c r="B488" s="3" t="s">
        <v>296</v>
      </c>
      <c r="C488" s="52">
        <v>2093</v>
      </c>
      <c r="D488" s="105">
        <v>55.416699999999999</v>
      </c>
      <c r="E488" s="105">
        <v>13.816700000000001</v>
      </c>
      <c r="F488" s="20">
        <v>8195</v>
      </c>
      <c r="G488" s="18">
        <v>0</v>
      </c>
      <c r="H488" s="53">
        <v>11</v>
      </c>
      <c r="I488" s="167">
        <f t="shared" ref="I488:K488" si="811">ROUND(I500,3)</f>
        <v>-1.216</v>
      </c>
      <c r="J488" s="104">
        <f t="shared" si="811"/>
        <v>1.026</v>
      </c>
      <c r="K488" s="104">
        <f t="shared" si="811"/>
        <v>1.4999999999999999E-2</v>
      </c>
      <c r="L488" s="105">
        <f t="shared" si="782"/>
        <v>0.22420000000000001</v>
      </c>
      <c r="M488" s="105" t="s">
        <v>282</v>
      </c>
      <c r="N488" s="105" t="s">
        <v>282</v>
      </c>
      <c r="O488" s="20">
        <f t="shared" ref="O488:P488" si="812">ROUND(O500,0)</f>
        <v>180</v>
      </c>
      <c r="P488" s="20">
        <f t="shared" si="812"/>
        <v>60</v>
      </c>
      <c r="Q488" s="104">
        <f t="shared" si="784"/>
        <v>1E-3</v>
      </c>
      <c r="R488" s="20">
        <f t="shared" ref="R488:S488" si="813">ROUND(R500,0)</f>
        <v>3</v>
      </c>
      <c r="S488" s="20">
        <f t="shared" si="813"/>
        <v>1500</v>
      </c>
      <c r="T488" s="104">
        <f t="shared" si="786"/>
        <v>0.1</v>
      </c>
      <c r="U488" s="53" t="s">
        <v>282</v>
      </c>
      <c r="V488" s="44"/>
      <c r="W488" s="58">
        <f t="shared" si="732"/>
        <v>2093</v>
      </c>
      <c r="X488" s="102">
        <f t="shared" si="733"/>
        <v>55.416699999999999</v>
      </c>
      <c r="Y488" s="102">
        <f t="shared" si="734"/>
        <v>13.816700000000001</v>
      </c>
      <c r="Z488" s="21">
        <f t="shared" si="735"/>
        <v>8195</v>
      </c>
      <c r="AA488" s="44">
        <f t="shared" si="736"/>
        <v>0</v>
      </c>
      <c r="AB488" s="21">
        <f t="shared" si="710"/>
        <v>11</v>
      </c>
      <c r="AC488" s="119">
        <f>ROUND(I488+mwreg!$G$48/100,3)</f>
        <v>-1.0580000000000001</v>
      </c>
      <c r="AD488" s="108">
        <f>ROUND(J488+mwreg!$G$48/100,3)</f>
        <v>1.1839999999999999</v>
      </c>
      <c r="AE488" s="108">
        <f>ROUND(K488+mwreg!$G$48/100,3)</f>
        <v>0.17299999999999999</v>
      </c>
      <c r="AF488" s="102">
        <f t="shared" si="779"/>
        <v>0.22420000000000001</v>
      </c>
      <c r="AG488" s="102" t="str">
        <f t="shared" si="780"/>
        <v>NaN</v>
      </c>
      <c r="AH488" s="109" t="str">
        <f t="shared" si="764"/>
        <v>NaN</v>
      </c>
      <c r="AI488" s="110">
        <f t="shared" si="765"/>
        <v>180</v>
      </c>
      <c r="AJ488" s="110">
        <f t="shared" si="766"/>
        <v>60</v>
      </c>
      <c r="AK488" s="108">
        <f t="shared" si="767"/>
        <v>1E-3</v>
      </c>
      <c r="AL488" s="110">
        <f t="shared" si="768"/>
        <v>3</v>
      </c>
      <c r="AM488" s="110">
        <f t="shared" si="769"/>
        <v>1500</v>
      </c>
      <c r="AN488" s="108">
        <f t="shared" si="770"/>
        <v>0.1</v>
      </c>
      <c r="AO488" s="186" t="str">
        <f t="shared" si="777"/>
        <v>NaN</v>
      </c>
    </row>
    <row r="489" spans="1:41" x14ac:dyDescent="0.2">
      <c r="A489" s="3" t="s">
        <v>296</v>
      </c>
      <c r="B489" s="3" t="s">
        <v>296</v>
      </c>
      <c r="C489" s="52">
        <v>2093</v>
      </c>
      <c r="D489" s="105">
        <v>55.416699999999999</v>
      </c>
      <c r="E489" s="105">
        <v>13.816700000000001</v>
      </c>
      <c r="F489" s="20">
        <v>8195</v>
      </c>
      <c r="G489" s="18">
        <v>0</v>
      </c>
      <c r="H489" s="53">
        <v>12</v>
      </c>
      <c r="I489" s="167">
        <f t="shared" ref="I489:K489" si="814">ROUND(I501,3)</f>
        <v>-1.4339999999999999</v>
      </c>
      <c r="J489" s="104">
        <f t="shared" si="814"/>
        <v>1.6739999999999999</v>
      </c>
      <c r="K489" s="104">
        <f t="shared" si="814"/>
        <v>2.1000000000000001E-2</v>
      </c>
      <c r="L489" s="105">
        <f t="shared" si="782"/>
        <v>0.2402</v>
      </c>
      <c r="M489" s="105" t="s">
        <v>282</v>
      </c>
      <c r="N489" s="105" t="s">
        <v>282</v>
      </c>
      <c r="O489" s="20">
        <f t="shared" ref="O489:P489" si="815">ROUND(O501,0)</f>
        <v>180</v>
      </c>
      <c r="P489" s="20">
        <f t="shared" si="815"/>
        <v>60</v>
      </c>
      <c r="Q489" s="104">
        <f t="shared" si="784"/>
        <v>1E-3</v>
      </c>
      <c r="R489" s="20">
        <f t="shared" ref="R489:S489" si="816">ROUND(R501,0)</f>
        <v>3</v>
      </c>
      <c r="S489" s="20">
        <f t="shared" si="816"/>
        <v>1500</v>
      </c>
      <c r="T489" s="104">
        <f t="shared" si="786"/>
        <v>0.1</v>
      </c>
      <c r="U489" s="53" t="s">
        <v>282</v>
      </c>
      <c r="V489" s="44"/>
      <c r="W489" s="58">
        <f t="shared" si="732"/>
        <v>2093</v>
      </c>
      <c r="X489" s="102">
        <f t="shared" si="733"/>
        <v>55.416699999999999</v>
      </c>
      <c r="Y489" s="102">
        <f t="shared" si="734"/>
        <v>13.816700000000001</v>
      </c>
      <c r="Z489" s="21">
        <f t="shared" si="735"/>
        <v>8195</v>
      </c>
      <c r="AA489" s="44">
        <f t="shared" si="736"/>
        <v>0</v>
      </c>
      <c r="AB489" s="21">
        <f t="shared" si="710"/>
        <v>12</v>
      </c>
      <c r="AC489" s="119">
        <f>ROUND(I489+mwreg!$G$48/100,3)</f>
        <v>-1.276</v>
      </c>
      <c r="AD489" s="108">
        <f>ROUND(J489+mwreg!$G$48/100,3)</f>
        <v>1.8320000000000001</v>
      </c>
      <c r="AE489" s="108">
        <f>ROUND(K489+mwreg!$G$48/100,3)</f>
        <v>0.17899999999999999</v>
      </c>
      <c r="AF489" s="102">
        <f t="shared" si="779"/>
        <v>0.2402</v>
      </c>
      <c r="AG489" s="102" t="str">
        <f t="shared" si="780"/>
        <v>NaN</v>
      </c>
      <c r="AH489" s="109" t="str">
        <f t="shared" si="764"/>
        <v>NaN</v>
      </c>
      <c r="AI489" s="110">
        <f t="shared" si="765"/>
        <v>180</v>
      </c>
      <c r="AJ489" s="110">
        <f t="shared" si="766"/>
        <v>60</v>
      </c>
      <c r="AK489" s="108">
        <f t="shared" si="767"/>
        <v>1E-3</v>
      </c>
      <c r="AL489" s="110">
        <f t="shared" si="768"/>
        <v>3</v>
      </c>
      <c r="AM489" s="110">
        <f t="shared" si="769"/>
        <v>1500</v>
      </c>
      <c r="AN489" s="108">
        <f t="shared" si="770"/>
        <v>0.1</v>
      </c>
      <c r="AO489" s="186" t="str">
        <f t="shared" si="777"/>
        <v>NaN</v>
      </c>
    </row>
    <row r="490" spans="1:41" x14ac:dyDescent="0.2">
      <c r="A490" s="3" t="str">
        <f>stat_uppg!A49</f>
        <v>94/35159</v>
      </c>
      <c r="B490" s="3" t="str">
        <f>stat_uppg!B49</f>
        <v>YSTAD2 (SJÖV)</v>
      </c>
      <c r="C490" s="55">
        <v>35159</v>
      </c>
      <c r="D490" s="79">
        <v>55.416699999999999</v>
      </c>
      <c r="E490" s="79">
        <v>13.816700000000001</v>
      </c>
      <c r="F490" s="14">
        <v>8195</v>
      </c>
      <c r="G490" s="10">
        <v>0</v>
      </c>
      <c r="H490" s="122">
        <v>1</v>
      </c>
      <c r="I490" s="165">
        <v>-1.274</v>
      </c>
      <c r="J490" s="11">
        <v>1.5069999999999999</v>
      </c>
      <c r="K490" s="11">
        <v>9.4E-2</v>
      </c>
      <c r="L490" s="79">
        <v>0.24759999999999999</v>
      </c>
      <c r="M490" s="79" t="s">
        <v>282</v>
      </c>
      <c r="N490" s="79" t="s">
        <v>282</v>
      </c>
      <c r="O490" s="14">
        <v>180</v>
      </c>
      <c r="P490" s="136">
        <v>60</v>
      </c>
      <c r="Q490" s="128">
        <v>1E-3</v>
      </c>
      <c r="R490" s="136">
        <v>3</v>
      </c>
      <c r="S490" s="136">
        <v>1500</v>
      </c>
      <c r="T490" s="128">
        <v>0.1</v>
      </c>
      <c r="U490" s="122">
        <v>149750</v>
      </c>
      <c r="V490" s="35"/>
      <c r="W490" s="99">
        <f t="shared" si="732"/>
        <v>35159</v>
      </c>
      <c r="X490" s="100">
        <f t="shared" si="733"/>
        <v>55.416699999999999</v>
      </c>
      <c r="Y490" s="100">
        <f t="shared" si="734"/>
        <v>13.816700000000001</v>
      </c>
      <c r="Z490" s="22">
        <f t="shared" si="735"/>
        <v>8195</v>
      </c>
      <c r="AA490" s="22">
        <f t="shared" si="736"/>
        <v>0</v>
      </c>
      <c r="AB490" s="22">
        <f t="shared" si="710"/>
        <v>1</v>
      </c>
      <c r="AC490" s="118">
        <f>ROUND(I490+mwreg!$G$49/100,3)</f>
        <v>-1.1160000000000001</v>
      </c>
      <c r="AD490" s="83">
        <f>ROUND(J490+mwreg!$G$49/100,3)</f>
        <v>1.665</v>
      </c>
      <c r="AE490" s="83">
        <f>ROUND(K490+mwreg!$G$49/100,3)</f>
        <v>0.252</v>
      </c>
      <c r="AF490" s="100">
        <f t="shared" si="779"/>
        <v>0.24759999999999999</v>
      </c>
      <c r="AG490" s="100" t="str">
        <f t="shared" si="780"/>
        <v>NaN</v>
      </c>
      <c r="AH490" s="84" t="str">
        <f t="shared" si="764"/>
        <v>NaN</v>
      </c>
      <c r="AI490" s="82">
        <f t="shared" si="765"/>
        <v>180</v>
      </c>
      <c r="AJ490" s="82">
        <f t="shared" si="766"/>
        <v>60</v>
      </c>
      <c r="AK490" s="83">
        <f t="shared" si="767"/>
        <v>1E-3</v>
      </c>
      <c r="AL490" s="82">
        <f t="shared" si="768"/>
        <v>3</v>
      </c>
      <c r="AM490" s="82">
        <f t="shared" si="769"/>
        <v>1500</v>
      </c>
      <c r="AN490" s="83">
        <f t="shared" si="770"/>
        <v>0.1</v>
      </c>
      <c r="AO490" s="188">
        <f t="shared" si="777"/>
        <v>149750</v>
      </c>
    </row>
    <row r="491" spans="1:41" x14ac:dyDescent="0.2">
      <c r="A491" s="3" t="s">
        <v>296</v>
      </c>
      <c r="B491" s="3" t="s">
        <v>296</v>
      </c>
      <c r="C491" s="55">
        <v>35159</v>
      </c>
      <c r="D491" s="79">
        <v>55.416699999999999</v>
      </c>
      <c r="E491" s="79">
        <v>13.816700000000001</v>
      </c>
      <c r="F491" s="14">
        <v>8195</v>
      </c>
      <c r="G491" s="10">
        <v>0</v>
      </c>
      <c r="H491" s="122">
        <v>2</v>
      </c>
      <c r="I491" s="165">
        <v>-1.111</v>
      </c>
      <c r="J491" s="11">
        <v>1.1499999999999999</v>
      </c>
      <c r="K491" s="11">
        <v>5.3999999999999999E-2</v>
      </c>
      <c r="L491" s="79">
        <v>0.26500000000000001</v>
      </c>
      <c r="M491" s="79" t="s">
        <v>282</v>
      </c>
      <c r="N491" s="79" t="s">
        <v>282</v>
      </c>
      <c r="O491" s="14">
        <v>180</v>
      </c>
      <c r="P491" s="136">
        <v>60</v>
      </c>
      <c r="Q491" s="128">
        <v>1E-3</v>
      </c>
      <c r="R491" s="136">
        <v>3</v>
      </c>
      <c r="S491" s="136">
        <v>1500</v>
      </c>
      <c r="T491" s="128">
        <v>0.1</v>
      </c>
      <c r="U491" s="122">
        <v>143923</v>
      </c>
      <c r="V491" s="35"/>
      <c r="W491" s="99">
        <f t="shared" si="732"/>
        <v>35159</v>
      </c>
      <c r="X491" s="100">
        <f t="shared" si="733"/>
        <v>55.416699999999999</v>
      </c>
      <c r="Y491" s="100">
        <f t="shared" si="734"/>
        <v>13.816700000000001</v>
      </c>
      <c r="Z491" s="22">
        <f t="shared" si="735"/>
        <v>8195</v>
      </c>
      <c r="AA491" s="22">
        <f t="shared" si="736"/>
        <v>0</v>
      </c>
      <c r="AB491" s="22">
        <f t="shared" si="710"/>
        <v>2</v>
      </c>
      <c r="AC491" s="118">
        <f>ROUND(I491+mwreg!$G$49/100,3)</f>
        <v>-0.95299999999999996</v>
      </c>
      <c r="AD491" s="83">
        <f>ROUND(J491+mwreg!$G$49/100,3)</f>
        <v>1.3080000000000001</v>
      </c>
      <c r="AE491" s="83">
        <f>ROUND(K491+mwreg!$G$49/100,3)</f>
        <v>0.21199999999999999</v>
      </c>
      <c r="AF491" s="100">
        <f t="shared" si="779"/>
        <v>0.26500000000000001</v>
      </c>
      <c r="AG491" s="100" t="str">
        <f t="shared" si="780"/>
        <v>NaN</v>
      </c>
      <c r="AH491" s="84" t="str">
        <f t="shared" si="764"/>
        <v>NaN</v>
      </c>
      <c r="AI491" s="82">
        <f t="shared" si="765"/>
        <v>180</v>
      </c>
      <c r="AJ491" s="82">
        <f t="shared" si="766"/>
        <v>60</v>
      </c>
      <c r="AK491" s="83">
        <f t="shared" si="767"/>
        <v>1E-3</v>
      </c>
      <c r="AL491" s="82">
        <f t="shared" si="768"/>
        <v>3</v>
      </c>
      <c r="AM491" s="82">
        <f t="shared" si="769"/>
        <v>1500</v>
      </c>
      <c r="AN491" s="83">
        <f t="shared" si="770"/>
        <v>0.1</v>
      </c>
      <c r="AO491" s="188">
        <f t="shared" si="777"/>
        <v>143923</v>
      </c>
    </row>
    <row r="492" spans="1:41" x14ac:dyDescent="0.2">
      <c r="A492" s="3" t="s">
        <v>296</v>
      </c>
      <c r="B492" s="3" t="s">
        <v>296</v>
      </c>
      <c r="C492" s="55">
        <v>35159</v>
      </c>
      <c r="D492" s="79">
        <v>55.416699999999999</v>
      </c>
      <c r="E492" s="79">
        <v>13.816700000000001</v>
      </c>
      <c r="F492" s="14">
        <v>8195</v>
      </c>
      <c r="G492" s="10">
        <v>0</v>
      </c>
      <c r="H492" s="122">
        <v>3</v>
      </c>
      <c r="I492" s="165">
        <v>-1.121</v>
      </c>
      <c r="J492" s="11">
        <v>1.153</v>
      </c>
      <c r="K492" s="11">
        <v>2.4E-2</v>
      </c>
      <c r="L492" s="79">
        <v>0.2351</v>
      </c>
      <c r="M492" s="79" t="s">
        <v>282</v>
      </c>
      <c r="N492" s="79" t="s">
        <v>282</v>
      </c>
      <c r="O492" s="14">
        <v>180</v>
      </c>
      <c r="P492" s="136">
        <v>60</v>
      </c>
      <c r="Q492" s="128">
        <v>1E-3</v>
      </c>
      <c r="R492" s="136">
        <v>3</v>
      </c>
      <c r="S492" s="136">
        <v>1500</v>
      </c>
      <c r="T492" s="128">
        <v>0.1</v>
      </c>
      <c r="U492" s="122">
        <v>157159</v>
      </c>
      <c r="V492" s="35"/>
      <c r="W492" s="99">
        <f t="shared" si="732"/>
        <v>35159</v>
      </c>
      <c r="X492" s="100">
        <f t="shared" si="733"/>
        <v>55.416699999999999</v>
      </c>
      <c r="Y492" s="100">
        <f t="shared" si="734"/>
        <v>13.816700000000001</v>
      </c>
      <c r="Z492" s="22">
        <f t="shared" si="735"/>
        <v>8195</v>
      </c>
      <c r="AA492" s="22">
        <f t="shared" si="736"/>
        <v>0</v>
      </c>
      <c r="AB492" s="22">
        <f t="shared" si="710"/>
        <v>3</v>
      </c>
      <c r="AC492" s="118">
        <f>ROUND(I492+mwreg!$G$49/100,3)</f>
        <v>-0.96299999999999997</v>
      </c>
      <c r="AD492" s="83">
        <f>ROUND(J492+mwreg!$G$49/100,3)</f>
        <v>1.3109999999999999</v>
      </c>
      <c r="AE492" s="83">
        <f>ROUND(K492+mwreg!$G$49/100,3)</f>
        <v>0.182</v>
      </c>
      <c r="AF492" s="100">
        <f t="shared" si="779"/>
        <v>0.2351</v>
      </c>
      <c r="AG492" s="100" t="str">
        <f t="shared" si="780"/>
        <v>NaN</v>
      </c>
      <c r="AH492" s="84" t="str">
        <f t="shared" si="764"/>
        <v>NaN</v>
      </c>
      <c r="AI492" s="82">
        <f t="shared" si="765"/>
        <v>180</v>
      </c>
      <c r="AJ492" s="82">
        <f t="shared" si="766"/>
        <v>60</v>
      </c>
      <c r="AK492" s="83">
        <f t="shared" si="767"/>
        <v>1E-3</v>
      </c>
      <c r="AL492" s="82">
        <f t="shared" si="768"/>
        <v>3</v>
      </c>
      <c r="AM492" s="82">
        <f t="shared" si="769"/>
        <v>1500</v>
      </c>
      <c r="AN492" s="83">
        <f t="shared" si="770"/>
        <v>0.1</v>
      </c>
      <c r="AO492" s="188">
        <f t="shared" si="777"/>
        <v>157159</v>
      </c>
    </row>
    <row r="493" spans="1:41" x14ac:dyDescent="0.2">
      <c r="A493" s="3" t="s">
        <v>296</v>
      </c>
      <c r="B493" s="3" t="s">
        <v>296</v>
      </c>
      <c r="C493" s="55">
        <v>35159</v>
      </c>
      <c r="D493" s="79">
        <v>55.416699999999999</v>
      </c>
      <c r="E493" s="79">
        <v>13.816700000000001</v>
      </c>
      <c r="F493" s="14">
        <v>8195</v>
      </c>
      <c r="G493" s="10">
        <v>0</v>
      </c>
      <c r="H493" s="122">
        <v>4</v>
      </c>
      <c r="I493" s="165">
        <v>-0.96599999999999997</v>
      </c>
      <c r="J493" s="11">
        <v>0.91</v>
      </c>
      <c r="K493" s="11">
        <v>-5.0999999999999997E-2</v>
      </c>
      <c r="L493" s="79">
        <v>0.16839999999999999</v>
      </c>
      <c r="M493" s="79" t="s">
        <v>282</v>
      </c>
      <c r="N493" s="79" t="s">
        <v>282</v>
      </c>
      <c r="O493" s="14">
        <v>180</v>
      </c>
      <c r="P493" s="136">
        <v>60</v>
      </c>
      <c r="Q493" s="128">
        <v>1E-3</v>
      </c>
      <c r="R493" s="136">
        <v>3</v>
      </c>
      <c r="S493" s="136">
        <v>1500</v>
      </c>
      <c r="T493" s="128">
        <v>0.1</v>
      </c>
      <c r="U493" s="122">
        <v>155871</v>
      </c>
      <c r="V493" s="35"/>
      <c r="W493" s="99">
        <f t="shared" si="732"/>
        <v>35159</v>
      </c>
      <c r="X493" s="100">
        <f t="shared" si="733"/>
        <v>55.416699999999999</v>
      </c>
      <c r="Y493" s="100">
        <f t="shared" si="734"/>
        <v>13.816700000000001</v>
      </c>
      <c r="Z493" s="22">
        <f t="shared" si="735"/>
        <v>8195</v>
      </c>
      <c r="AA493" s="22">
        <f t="shared" si="736"/>
        <v>0</v>
      </c>
      <c r="AB493" s="22">
        <f t="shared" si="710"/>
        <v>4</v>
      </c>
      <c r="AC493" s="118">
        <f>ROUND(I493+mwreg!$G$49/100,3)</f>
        <v>-0.80800000000000005</v>
      </c>
      <c r="AD493" s="83">
        <f>ROUND(J493+mwreg!$G$49/100,3)</f>
        <v>1.0680000000000001</v>
      </c>
      <c r="AE493" s="83">
        <f>ROUND(K493+mwreg!$G$49/100,3)</f>
        <v>0.107</v>
      </c>
      <c r="AF493" s="100">
        <f t="shared" si="779"/>
        <v>0.16839999999999999</v>
      </c>
      <c r="AG493" s="100" t="str">
        <f t="shared" si="780"/>
        <v>NaN</v>
      </c>
      <c r="AH493" s="84" t="str">
        <f t="shared" si="764"/>
        <v>NaN</v>
      </c>
      <c r="AI493" s="82">
        <f t="shared" si="765"/>
        <v>180</v>
      </c>
      <c r="AJ493" s="82">
        <f t="shared" si="766"/>
        <v>60</v>
      </c>
      <c r="AK493" s="83">
        <f t="shared" si="767"/>
        <v>1E-3</v>
      </c>
      <c r="AL493" s="82">
        <f t="shared" si="768"/>
        <v>3</v>
      </c>
      <c r="AM493" s="82">
        <f t="shared" si="769"/>
        <v>1500</v>
      </c>
      <c r="AN493" s="83">
        <f t="shared" si="770"/>
        <v>0.1</v>
      </c>
      <c r="AO493" s="188">
        <f t="shared" si="777"/>
        <v>155871</v>
      </c>
    </row>
    <row r="494" spans="1:41" x14ac:dyDescent="0.2">
      <c r="A494" s="3" t="s">
        <v>296</v>
      </c>
      <c r="B494" s="3" t="s">
        <v>296</v>
      </c>
      <c r="C494" s="55">
        <v>35159</v>
      </c>
      <c r="D494" s="79">
        <v>55.416699999999999</v>
      </c>
      <c r="E494" s="79">
        <v>13.816700000000001</v>
      </c>
      <c r="F494" s="14">
        <v>8195</v>
      </c>
      <c r="G494" s="10">
        <v>0</v>
      </c>
      <c r="H494" s="122">
        <v>5</v>
      </c>
      <c r="I494" s="165">
        <v>-0.79800000000000004</v>
      </c>
      <c r="J494" s="11">
        <v>0.496</v>
      </c>
      <c r="K494" s="11">
        <v>-4.7E-2</v>
      </c>
      <c r="L494" s="79">
        <v>0.12839999999999999</v>
      </c>
      <c r="M494" s="79" t="s">
        <v>282</v>
      </c>
      <c r="N494" s="79" t="s">
        <v>282</v>
      </c>
      <c r="O494" s="14">
        <v>180</v>
      </c>
      <c r="P494" s="136">
        <v>60</v>
      </c>
      <c r="Q494" s="128">
        <v>1E-3</v>
      </c>
      <c r="R494" s="136">
        <v>3</v>
      </c>
      <c r="S494" s="136">
        <v>1500</v>
      </c>
      <c r="T494" s="128">
        <v>0.1</v>
      </c>
      <c r="U494" s="122">
        <v>193187</v>
      </c>
      <c r="V494" s="35"/>
      <c r="W494" s="99">
        <f t="shared" si="732"/>
        <v>35159</v>
      </c>
      <c r="X494" s="100">
        <f t="shared" si="733"/>
        <v>55.416699999999999</v>
      </c>
      <c r="Y494" s="100">
        <f t="shared" si="734"/>
        <v>13.816700000000001</v>
      </c>
      <c r="Z494" s="22">
        <f t="shared" si="735"/>
        <v>8195</v>
      </c>
      <c r="AA494" s="22">
        <f t="shared" si="736"/>
        <v>0</v>
      </c>
      <c r="AB494" s="22">
        <f t="shared" si="710"/>
        <v>5</v>
      </c>
      <c r="AC494" s="118">
        <f>ROUND(I494+mwreg!$G$49/100,3)</f>
        <v>-0.64</v>
      </c>
      <c r="AD494" s="83">
        <f>ROUND(J494+mwreg!$G$49/100,3)</f>
        <v>0.65400000000000003</v>
      </c>
      <c r="AE494" s="83">
        <f>ROUND(K494+mwreg!$G$49/100,3)</f>
        <v>0.111</v>
      </c>
      <c r="AF494" s="100">
        <f t="shared" si="779"/>
        <v>0.12839999999999999</v>
      </c>
      <c r="AG494" s="100" t="str">
        <f t="shared" si="780"/>
        <v>NaN</v>
      </c>
      <c r="AH494" s="84" t="str">
        <f t="shared" si="764"/>
        <v>NaN</v>
      </c>
      <c r="AI494" s="82">
        <f t="shared" si="765"/>
        <v>180</v>
      </c>
      <c r="AJ494" s="82">
        <f t="shared" si="766"/>
        <v>60</v>
      </c>
      <c r="AK494" s="83">
        <f t="shared" si="767"/>
        <v>1E-3</v>
      </c>
      <c r="AL494" s="82">
        <f t="shared" si="768"/>
        <v>3</v>
      </c>
      <c r="AM494" s="82">
        <f t="shared" si="769"/>
        <v>1500</v>
      </c>
      <c r="AN494" s="83">
        <f t="shared" si="770"/>
        <v>0.1</v>
      </c>
      <c r="AO494" s="188">
        <f t="shared" si="777"/>
        <v>193187</v>
      </c>
    </row>
    <row r="495" spans="1:41" x14ac:dyDescent="0.2">
      <c r="A495" s="3" t="s">
        <v>296</v>
      </c>
      <c r="B495" s="3" t="s">
        <v>296</v>
      </c>
      <c r="C495" s="55">
        <v>35159</v>
      </c>
      <c r="D495" s="79">
        <v>55.416699999999999</v>
      </c>
      <c r="E495" s="79">
        <v>13.816700000000001</v>
      </c>
      <c r="F495" s="14">
        <v>8195</v>
      </c>
      <c r="G495" s="10">
        <v>0</v>
      </c>
      <c r="H495" s="122">
        <v>6</v>
      </c>
      <c r="I495" s="165">
        <v>-1.2150000000000001</v>
      </c>
      <c r="J495" s="11">
        <v>0.81299999999999994</v>
      </c>
      <c r="K495" s="11">
        <v>-0.05</v>
      </c>
      <c r="L495" s="79">
        <v>0.13009999999999999</v>
      </c>
      <c r="M495" s="79" t="s">
        <v>282</v>
      </c>
      <c r="N495" s="79" t="s">
        <v>282</v>
      </c>
      <c r="O495" s="14">
        <v>180</v>
      </c>
      <c r="P495" s="136">
        <v>60</v>
      </c>
      <c r="Q495" s="128">
        <v>1E-3</v>
      </c>
      <c r="R495" s="136">
        <v>3</v>
      </c>
      <c r="S495" s="136">
        <v>1500</v>
      </c>
      <c r="T495" s="128">
        <v>0.1</v>
      </c>
      <c r="U495" s="122">
        <v>192287</v>
      </c>
      <c r="V495" s="35"/>
      <c r="W495" s="99">
        <f t="shared" si="732"/>
        <v>35159</v>
      </c>
      <c r="X495" s="100">
        <f t="shared" si="733"/>
        <v>55.416699999999999</v>
      </c>
      <c r="Y495" s="100">
        <f t="shared" si="734"/>
        <v>13.816700000000001</v>
      </c>
      <c r="Z495" s="22">
        <f t="shared" si="735"/>
        <v>8195</v>
      </c>
      <c r="AA495" s="22">
        <f t="shared" si="736"/>
        <v>0</v>
      </c>
      <c r="AB495" s="22">
        <f t="shared" si="710"/>
        <v>6</v>
      </c>
      <c r="AC495" s="118">
        <f>ROUND(I495+mwreg!$G$49/100,3)</f>
        <v>-1.0569999999999999</v>
      </c>
      <c r="AD495" s="83">
        <f>ROUND(J495+mwreg!$G$49/100,3)</f>
        <v>0.97099999999999997</v>
      </c>
      <c r="AE495" s="83">
        <f>ROUND(K495+mwreg!$G$49/100,3)</f>
        <v>0.108</v>
      </c>
      <c r="AF495" s="100">
        <f t="shared" si="779"/>
        <v>0.13009999999999999</v>
      </c>
      <c r="AG495" s="100" t="str">
        <f t="shared" si="780"/>
        <v>NaN</v>
      </c>
      <c r="AH495" s="84" t="str">
        <f t="shared" si="764"/>
        <v>NaN</v>
      </c>
      <c r="AI495" s="82">
        <f t="shared" si="765"/>
        <v>180</v>
      </c>
      <c r="AJ495" s="82">
        <f t="shared" si="766"/>
        <v>60</v>
      </c>
      <c r="AK495" s="83">
        <f t="shared" si="767"/>
        <v>1E-3</v>
      </c>
      <c r="AL495" s="82">
        <f t="shared" si="768"/>
        <v>3</v>
      </c>
      <c r="AM495" s="82">
        <f t="shared" si="769"/>
        <v>1500</v>
      </c>
      <c r="AN495" s="83">
        <f t="shared" si="770"/>
        <v>0.1</v>
      </c>
      <c r="AO495" s="188">
        <f t="shared" si="777"/>
        <v>192287</v>
      </c>
    </row>
    <row r="496" spans="1:41" x14ac:dyDescent="0.2">
      <c r="A496" s="3" t="s">
        <v>296</v>
      </c>
      <c r="B496" s="3" t="s">
        <v>296</v>
      </c>
      <c r="C496" s="55">
        <v>35159</v>
      </c>
      <c r="D496" s="79">
        <v>55.416699999999999</v>
      </c>
      <c r="E496" s="79">
        <v>13.816700000000001</v>
      </c>
      <c r="F496" s="14">
        <v>8195</v>
      </c>
      <c r="G496" s="10">
        <v>0</v>
      </c>
      <c r="H496" s="122">
        <v>7</v>
      </c>
      <c r="I496" s="165">
        <v>-0.63800000000000001</v>
      </c>
      <c r="J496" s="11">
        <v>0.86599999999999999</v>
      </c>
      <c r="K496" s="11">
        <v>4.9000000000000002E-2</v>
      </c>
      <c r="L496" s="79">
        <v>0.1216</v>
      </c>
      <c r="M496" s="79" t="s">
        <v>282</v>
      </c>
      <c r="N496" s="79" t="s">
        <v>282</v>
      </c>
      <c r="O496" s="14">
        <v>180</v>
      </c>
      <c r="P496" s="136">
        <v>60</v>
      </c>
      <c r="Q496" s="128">
        <v>1E-3</v>
      </c>
      <c r="R496" s="136">
        <v>3</v>
      </c>
      <c r="S496" s="136">
        <v>1500</v>
      </c>
      <c r="T496" s="128">
        <v>0.1</v>
      </c>
      <c r="U496" s="122">
        <v>199581</v>
      </c>
      <c r="V496" s="35"/>
      <c r="W496" s="99">
        <f t="shared" si="732"/>
        <v>35159</v>
      </c>
      <c r="X496" s="100">
        <f t="shared" si="733"/>
        <v>55.416699999999999</v>
      </c>
      <c r="Y496" s="100">
        <f t="shared" si="734"/>
        <v>13.816700000000001</v>
      </c>
      <c r="Z496" s="22">
        <f t="shared" si="735"/>
        <v>8195</v>
      </c>
      <c r="AA496" s="22">
        <f t="shared" si="736"/>
        <v>0</v>
      </c>
      <c r="AB496" s="22">
        <f t="shared" si="710"/>
        <v>7</v>
      </c>
      <c r="AC496" s="118">
        <f>ROUND(I496+mwreg!$G$49/100,3)</f>
        <v>-0.48</v>
      </c>
      <c r="AD496" s="83">
        <f>ROUND(J496+mwreg!$G$49/100,3)</f>
        <v>1.024</v>
      </c>
      <c r="AE496" s="83">
        <f>ROUND(K496+mwreg!$G$49/100,3)</f>
        <v>0.20699999999999999</v>
      </c>
      <c r="AF496" s="100">
        <f t="shared" si="779"/>
        <v>0.1216</v>
      </c>
      <c r="AG496" s="100" t="str">
        <f t="shared" si="780"/>
        <v>NaN</v>
      </c>
      <c r="AH496" s="84" t="str">
        <f t="shared" si="764"/>
        <v>NaN</v>
      </c>
      <c r="AI496" s="82">
        <f t="shared" si="765"/>
        <v>180</v>
      </c>
      <c r="AJ496" s="82">
        <f t="shared" si="766"/>
        <v>60</v>
      </c>
      <c r="AK496" s="83">
        <f t="shared" si="767"/>
        <v>1E-3</v>
      </c>
      <c r="AL496" s="82">
        <f t="shared" si="768"/>
        <v>3</v>
      </c>
      <c r="AM496" s="82">
        <f t="shared" si="769"/>
        <v>1500</v>
      </c>
      <c r="AN496" s="83">
        <f t="shared" si="770"/>
        <v>0.1</v>
      </c>
      <c r="AO496" s="188">
        <f t="shared" si="777"/>
        <v>199581</v>
      </c>
    </row>
    <row r="497" spans="1:41" x14ac:dyDescent="0.2">
      <c r="A497" s="3" t="s">
        <v>296</v>
      </c>
      <c r="B497" s="3" t="s">
        <v>296</v>
      </c>
      <c r="C497" s="55">
        <v>35159</v>
      </c>
      <c r="D497" s="79">
        <v>55.416699999999999</v>
      </c>
      <c r="E497" s="79">
        <v>13.816700000000001</v>
      </c>
      <c r="F497" s="14">
        <v>8195</v>
      </c>
      <c r="G497" s="10">
        <v>0</v>
      </c>
      <c r="H497" s="122">
        <v>8</v>
      </c>
      <c r="I497" s="165">
        <v>-0.72899999999999998</v>
      </c>
      <c r="J497" s="11">
        <v>0.67300000000000004</v>
      </c>
      <c r="K497" s="11">
        <v>2.3E-2</v>
      </c>
      <c r="L497" s="79">
        <v>0.1234</v>
      </c>
      <c r="M497" s="79" t="s">
        <v>282</v>
      </c>
      <c r="N497" s="79" t="s">
        <v>282</v>
      </c>
      <c r="O497" s="14">
        <v>180</v>
      </c>
      <c r="P497" s="136">
        <v>60</v>
      </c>
      <c r="Q497" s="128">
        <v>1E-3</v>
      </c>
      <c r="R497" s="136">
        <v>3</v>
      </c>
      <c r="S497" s="136">
        <v>1500</v>
      </c>
      <c r="T497" s="128">
        <v>0.1</v>
      </c>
      <c r="U497" s="122">
        <v>198292</v>
      </c>
      <c r="V497" s="35"/>
      <c r="W497" s="99">
        <f t="shared" si="732"/>
        <v>35159</v>
      </c>
      <c r="X497" s="100">
        <f t="shared" si="733"/>
        <v>55.416699999999999</v>
      </c>
      <c r="Y497" s="100">
        <f t="shared" si="734"/>
        <v>13.816700000000001</v>
      </c>
      <c r="Z497" s="22">
        <f t="shared" si="735"/>
        <v>8195</v>
      </c>
      <c r="AA497" s="22">
        <f t="shared" si="736"/>
        <v>0</v>
      </c>
      <c r="AB497" s="22">
        <f t="shared" si="710"/>
        <v>8</v>
      </c>
      <c r="AC497" s="118">
        <f>ROUND(I497+mwreg!$G$49/100,3)</f>
        <v>-0.57099999999999995</v>
      </c>
      <c r="AD497" s="83">
        <f>ROUND(J497+mwreg!$G$49/100,3)</f>
        <v>0.83099999999999996</v>
      </c>
      <c r="AE497" s="83">
        <f>ROUND(K497+mwreg!$G$49/100,3)</f>
        <v>0.18099999999999999</v>
      </c>
      <c r="AF497" s="100">
        <f t="shared" si="779"/>
        <v>0.1234</v>
      </c>
      <c r="AG497" s="100" t="str">
        <f t="shared" si="780"/>
        <v>NaN</v>
      </c>
      <c r="AH497" s="84" t="str">
        <f t="shared" si="764"/>
        <v>NaN</v>
      </c>
      <c r="AI497" s="82">
        <f t="shared" si="765"/>
        <v>180</v>
      </c>
      <c r="AJ497" s="82">
        <f t="shared" si="766"/>
        <v>60</v>
      </c>
      <c r="AK497" s="83">
        <f t="shared" si="767"/>
        <v>1E-3</v>
      </c>
      <c r="AL497" s="82">
        <f t="shared" si="768"/>
        <v>3</v>
      </c>
      <c r="AM497" s="82">
        <f t="shared" si="769"/>
        <v>1500</v>
      </c>
      <c r="AN497" s="83">
        <f t="shared" si="770"/>
        <v>0.1</v>
      </c>
      <c r="AO497" s="188">
        <f t="shared" si="777"/>
        <v>198292</v>
      </c>
    </row>
    <row r="498" spans="1:41" x14ac:dyDescent="0.2">
      <c r="A498" s="3" t="s">
        <v>296</v>
      </c>
      <c r="B498" s="3" t="s">
        <v>296</v>
      </c>
      <c r="C498" s="55">
        <v>35159</v>
      </c>
      <c r="D498" s="79">
        <v>55.416699999999999</v>
      </c>
      <c r="E498" s="79">
        <v>13.816700000000001</v>
      </c>
      <c r="F498" s="14">
        <v>8195</v>
      </c>
      <c r="G498" s="10">
        <v>0</v>
      </c>
      <c r="H498" s="122">
        <v>9</v>
      </c>
      <c r="I498" s="165">
        <v>-1.071</v>
      </c>
      <c r="J498" s="11">
        <v>1.0189999999999999</v>
      </c>
      <c r="K498" s="11">
        <v>5.8000000000000003E-2</v>
      </c>
      <c r="L498" s="79">
        <v>0.1736</v>
      </c>
      <c r="M498" s="79" t="s">
        <v>282</v>
      </c>
      <c r="N498" s="79" t="s">
        <v>282</v>
      </c>
      <c r="O498" s="14">
        <v>180</v>
      </c>
      <c r="P498" s="136">
        <v>60</v>
      </c>
      <c r="Q498" s="128">
        <v>1E-3</v>
      </c>
      <c r="R498" s="136">
        <v>3</v>
      </c>
      <c r="S498" s="136">
        <v>1500</v>
      </c>
      <c r="T498" s="128">
        <v>0.1</v>
      </c>
      <c r="U498" s="122">
        <v>192795</v>
      </c>
      <c r="V498" s="35"/>
      <c r="W498" s="99">
        <f t="shared" si="732"/>
        <v>35159</v>
      </c>
      <c r="X498" s="100">
        <f t="shared" si="733"/>
        <v>55.416699999999999</v>
      </c>
      <c r="Y498" s="100">
        <f t="shared" si="734"/>
        <v>13.816700000000001</v>
      </c>
      <c r="Z498" s="22">
        <f t="shared" si="735"/>
        <v>8195</v>
      </c>
      <c r="AA498" s="22">
        <f t="shared" si="736"/>
        <v>0</v>
      </c>
      <c r="AB498" s="22">
        <f t="shared" si="710"/>
        <v>9</v>
      </c>
      <c r="AC498" s="118">
        <f>ROUND(I498+mwreg!$G$49/100,3)</f>
        <v>-0.91300000000000003</v>
      </c>
      <c r="AD498" s="83">
        <f>ROUND(J498+mwreg!$G$49/100,3)</f>
        <v>1.177</v>
      </c>
      <c r="AE498" s="83">
        <f>ROUND(K498+mwreg!$G$49/100,3)</f>
        <v>0.216</v>
      </c>
      <c r="AF498" s="100">
        <f t="shared" si="779"/>
        <v>0.1736</v>
      </c>
      <c r="AG498" s="100" t="str">
        <f t="shared" si="780"/>
        <v>NaN</v>
      </c>
      <c r="AH498" s="84" t="str">
        <f t="shared" si="764"/>
        <v>NaN</v>
      </c>
      <c r="AI498" s="82">
        <f t="shared" si="765"/>
        <v>180</v>
      </c>
      <c r="AJ498" s="82">
        <f t="shared" si="766"/>
        <v>60</v>
      </c>
      <c r="AK498" s="83">
        <f t="shared" si="767"/>
        <v>1E-3</v>
      </c>
      <c r="AL498" s="82">
        <f t="shared" si="768"/>
        <v>3</v>
      </c>
      <c r="AM498" s="82">
        <f t="shared" si="769"/>
        <v>1500</v>
      </c>
      <c r="AN498" s="83">
        <f t="shared" si="770"/>
        <v>0.1</v>
      </c>
      <c r="AO498" s="188">
        <f t="shared" si="777"/>
        <v>192795</v>
      </c>
    </row>
    <row r="499" spans="1:41" x14ac:dyDescent="0.2">
      <c r="A499" s="3" t="s">
        <v>296</v>
      </c>
      <c r="B499" s="3" t="s">
        <v>296</v>
      </c>
      <c r="C499" s="55">
        <v>35159</v>
      </c>
      <c r="D499" s="79">
        <v>55.416699999999999</v>
      </c>
      <c r="E499" s="79">
        <v>13.816700000000001</v>
      </c>
      <c r="F499" s="14">
        <v>8195</v>
      </c>
      <c r="G499" s="10">
        <v>0</v>
      </c>
      <c r="H499" s="122">
        <v>10</v>
      </c>
      <c r="I499" s="165">
        <v>-1.29</v>
      </c>
      <c r="J499" s="11">
        <v>1.28</v>
      </c>
      <c r="K499" s="11">
        <v>8.4000000000000005E-2</v>
      </c>
      <c r="L499" s="79">
        <v>0.20610000000000001</v>
      </c>
      <c r="M499" s="79" t="s">
        <v>282</v>
      </c>
      <c r="N499" s="79" t="s">
        <v>282</v>
      </c>
      <c r="O499" s="14">
        <v>180</v>
      </c>
      <c r="P499" s="136">
        <v>60</v>
      </c>
      <c r="Q499" s="128">
        <v>1E-3</v>
      </c>
      <c r="R499" s="136">
        <v>3</v>
      </c>
      <c r="S499" s="136">
        <v>1500</v>
      </c>
      <c r="T499" s="128">
        <v>0.1</v>
      </c>
      <c r="U499" s="122">
        <v>201626</v>
      </c>
      <c r="V499" s="35"/>
      <c r="W499" s="99">
        <f t="shared" si="732"/>
        <v>35159</v>
      </c>
      <c r="X499" s="100">
        <f t="shared" si="733"/>
        <v>55.416699999999999</v>
      </c>
      <c r="Y499" s="100">
        <f t="shared" si="734"/>
        <v>13.816700000000001</v>
      </c>
      <c r="Z499" s="22">
        <f t="shared" si="735"/>
        <v>8195</v>
      </c>
      <c r="AA499" s="22">
        <f t="shared" si="736"/>
        <v>0</v>
      </c>
      <c r="AB499" s="22">
        <f t="shared" si="710"/>
        <v>10</v>
      </c>
      <c r="AC499" s="118">
        <f>ROUND(I499+mwreg!$G$49/100,3)</f>
        <v>-1.1319999999999999</v>
      </c>
      <c r="AD499" s="83">
        <f>ROUND(J499+mwreg!$G$49/100,3)</f>
        <v>1.4379999999999999</v>
      </c>
      <c r="AE499" s="83">
        <f>ROUND(K499+mwreg!$G$49/100,3)</f>
        <v>0.24199999999999999</v>
      </c>
      <c r="AF499" s="100">
        <f t="shared" si="779"/>
        <v>0.20610000000000001</v>
      </c>
      <c r="AG499" s="100" t="str">
        <f t="shared" si="780"/>
        <v>NaN</v>
      </c>
      <c r="AH499" s="84" t="str">
        <f t="shared" si="764"/>
        <v>NaN</v>
      </c>
      <c r="AI499" s="82">
        <f t="shared" si="765"/>
        <v>180</v>
      </c>
      <c r="AJ499" s="82">
        <f t="shared" si="766"/>
        <v>60</v>
      </c>
      <c r="AK499" s="83">
        <f t="shared" si="767"/>
        <v>1E-3</v>
      </c>
      <c r="AL499" s="82">
        <f t="shared" si="768"/>
        <v>3</v>
      </c>
      <c r="AM499" s="82">
        <f t="shared" si="769"/>
        <v>1500</v>
      </c>
      <c r="AN499" s="83">
        <f t="shared" si="770"/>
        <v>0.1</v>
      </c>
      <c r="AO499" s="188">
        <f t="shared" si="777"/>
        <v>201626</v>
      </c>
    </row>
    <row r="500" spans="1:41" x14ac:dyDescent="0.2">
      <c r="A500" s="3" t="s">
        <v>296</v>
      </c>
      <c r="B500" s="3" t="s">
        <v>296</v>
      </c>
      <c r="C500" s="55">
        <v>35159</v>
      </c>
      <c r="D500" s="79">
        <v>55.416699999999999</v>
      </c>
      <c r="E500" s="79">
        <v>13.816700000000001</v>
      </c>
      <c r="F500" s="14">
        <v>8195</v>
      </c>
      <c r="G500" s="10">
        <v>0</v>
      </c>
      <c r="H500" s="122">
        <v>11</v>
      </c>
      <c r="I500" s="165">
        <v>-1.216</v>
      </c>
      <c r="J500" s="11">
        <v>1.026</v>
      </c>
      <c r="K500" s="11">
        <v>1.4999999999999999E-2</v>
      </c>
      <c r="L500" s="79">
        <v>0.22420000000000001</v>
      </c>
      <c r="M500" s="79" t="s">
        <v>282</v>
      </c>
      <c r="N500" s="79" t="s">
        <v>282</v>
      </c>
      <c r="O500" s="14">
        <v>180</v>
      </c>
      <c r="P500" s="136">
        <v>60</v>
      </c>
      <c r="Q500" s="128">
        <v>1E-3</v>
      </c>
      <c r="R500" s="136">
        <v>3</v>
      </c>
      <c r="S500" s="136">
        <v>1500</v>
      </c>
      <c r="T500" s="128">
        <v>0.1</v>
      </c>
      <c r="U500" s="122">
        <v>185153</v>
      </c>
      <c r="V500" s="35"/>
      <c r="W500" s="99">
        <f t="shared" si="732"/>
        <v>35159</v>
      </c>
      <c r="X500" s="100">
        <f t="shared" si="733"/>
        <v>55.416699999999999</v>
      </c>
      <c r="Y500" s="100">
        <f t="shared" si="734"/>
        <v>13.816700000000001</v>
      </c>
      <c r="Z500" s="22">
        <f t="shared" si="735"/>
        <v>8195</v>
      </c>
      <c r="AA500" s="22">
        <f t="shared" si="736"/>
        <v>0</v>
      </c>
      <c r="AB500" s="22">
        <f t="shared" si="710"/>
        <v>11</v>
      </c>
      <c r="AC500" s="118">
        <f>ROUND(I500+mwreg!$G$49/100,3)</f>
        <v>-1.0580000000000001</v>
      </c>
      <c r="AD500" s="83">
        <f>ROUND(J500+mwreg!$G$49/100,3)</f>
        <v>1.1839999999999999</v>
      </c>
      <c r="AE500" s="83">
        <f>ROUND(K500+mwreg!$G$49/100,3)</f>
        <v>0.17299999999999999</v>
      </c>
      <c r="AF500" s="100">
        <f t="shared" si="779"/>
        <v>0.22420000000000001</v>
      </c>
      <c r="AG500" s="100" t="str">
        <f t="shared" si="780"/>
        <v>NaN</v>
      </c>
      <c r="AH500" s="84" t="str">
        <f t="shared" si="764"/>
        <v>NaN</v>
      </c>
      <c r="AI500" s="82">
        <f t="shared" si="765"/>
        <v>180</v>
      </c>
      <c r="AJ500" s="82">
        <f t="shared" si="766"/>
        <v>60</v>
      </c>
      <c r="AK500" s="83">
        <f t="shared" si="767"/>
        <v>1E-3</v>
      </c>
      <c r="AL500" s="82">
        <f t="shared" si="768"/>
        <v>3</v>
      </c>
      <c r="AM500" s="82">
        <f t="shared" si="769"/>
        <v>1500</v>
      </c>
      <c r="AN500" s="83">
        <f t="shared" si="770"/>
        <v>0.1</v>
      </c>
      <c r="AO500" s="188">
        <f t="shared" si="777"/>
        <v>185153</v>
      </c>
    </row>
    <row r="501" spans="1:41" x14ac:dyDescent="0.2">
      <c r="A501" s="3" t="s">
        <v>296</v>
      </c>
      <c r="B501" s="3" t="s">
        <v>296</v>
      </c>
      <c r="C501" s="55">
        <v>35159</v>
      </c>
      <c r="D501" s="79">
        <v>55.416699999999999</v>
      </c>
      <c r="E501" s="79">
        <v>13.816700000000001</v>
      </c>
      <c r="F501" s="14">
        <v>8195</v>
      </c>
      <c r="G501" s="10">
        <v>0</v>
      </c>
      <c r="H501" s="122">
        <v>12</v>
      </c>
      <c r="I501" s="165">
        <v>-1.4339999999999999</v>
      </c>
      <c r="J501" s="11">
        <v>1.6739999999999999</v>
      </c>
      <c r="K501" s="11">
        <v>2.1000000000000001E-2</v>
      </c>
      <c r="L501" s="79">
        <v>0.2402</v>
      </c>
      <c r="M501" s="79" t="s">
        <v>282</v>
      </c>
      <c r="N501" s="79" t="s">
        <v>282</v>
      </c>
      <c r="O501" s="14">
        <v>180</v>
      </c>
      <c r="P501" s="136">
        <v>60</v>
      </c>
      <c r="Q501" s="128">
        <v>1E-3</v>
      </c>
      <c r="R501" s="136">
        <v>3</v>
      </c>
      <c r="S501" s="136">
        <v>1500</v>
      </c>
      <c r="T501" s="128">
        <v>0.1</v>
      </c>
      <c r="U501" s="122">
        <v>152888</v>
      </c>
      <c r="V501" s="35"/>
      <c r="W501" s="99">
        <f t="shared" si="732"/>
        <v>35159</v>
      </c>
      <c r="X501" s="100">
        <f t="shared" si="733"/>
        <v>55.416699999999999</v>
      </c>
      <c r="Y501" s="100">
        <f t="shared" si="734"/>
        <v>13.816700000000001</v>
      </c>
      <c r="Z501" s="22">
        <f t="shared" si="735"/>
        <v>8195</v>
      </c>
      <c r="AA501" s="22">
        <f t="shared" si="736"/>
        <v>0</v>
      </c>
      <c r="AB501" s="22">
        <f t="shared" si="710"/>
        <v>12</v>
      </c>
      <c r="AC501" s="118">
        <f>ROUND(I501+mwreg!$G$49/100,3)</f>
        <v>-1.276</v>
      </c>
      <c r="AD501" s="83">
        <f>ROUND(J501+mwreg!$G$49/100,3)</f>
        <v>1.8320000000000001</v>
      </c>
      <c r="AE501" s="83">
        <f>ROUND(K501+mwreg!$G$49/100,3)</f>
        <v>0.17899999999999999</v>
      </c>
      <c r="AF501" s="100">
        <f t="shared" si="779"/>
        <v>0.2402</v>
      </c>
      <c r="AG501" s="100" t="str">
        <f t="shared" si="780"/>
        <v>NaN</v>
      </c>
      <c r="AH501" s="84" t="str">
        <f t="shared" si="764"/>
        <v>NaN</v>
      </c>
      <c r="AI501" s="82">
        <f t="shared" si="765"/>
        <v>180</v>
      </c>
      <c r="AJ501" s="82">
        <f t="shared" si="766"/>
        <v>60</v>
      </c>
      <c r="AK501" s="83">
        <f t="shared" si="767"/>
        <v>1E-3</v>
      </c>
      <c r="AL501" s="82">
        <f t="shared" si="768"/>
        <v>3</v>
      </c>
      <c r="AM501" s="82">
        <f t="shared" si="769"/>
        <v>1500</v>
      </c>
      <c r="AN501" s="83">
        <f t="shared" si="770"/>
        <v>0.1</v>
      </c>
      <c r="AO501" s="188">
        <f t="shared" si="777"/>
        <v>152888</v>
      </c>
    </row>
    <row r="502" spans="1:41" x14ac:dyDescent="0.2">
      <c r="A502" s="3" t="str">
        <f>stat_uppg!A50</f>
        <v>30488/33065</v>
      </c>
      <c r="B502" s="3" t="str">
        <f>stat_uppg!B50</f>
        <v>SKANÖR (SMHI)</v>
      </c>
      <c r="C502" s="55">
        <v>30488</v>
      </c>
      <c r="D502" s="79">
        <v>55.416699999999999</v>
      </c>
      <c r="E502" s="79">
        <v>12.829700000000001</v>
      </c>
      <c r="F502" s="14">
        <v>8195</v>
      </c>
      <c r="G502" s="10">
        <v>0</v>
      </c>
      <c r="H502" s="122">
        <v>1</v>
      </c>
      <c r="I502" s="165">
        <v>-1.514</v>
      </c>
      <c r="J502" s="11">
        <v>1.5349999999999999</v>
      </c>
      <c r="K502" s="11">
        <v>8.6999999999999994E-2</v>
      </c>
      <c r="L502" s="79">
        <v>0.2787</v>
      </c>
      <c r="M502" s="129">
        <v>7.9699999999999993E-2</v>
      </c>
      <c r="N502" s="129">
        <v>8.5000000000000006E-2</v>
      </c>
      <c r="O502" s="136">
        <v>180</v>
      </c>
      <c r="P502" s="136">
        <v>60</v>
      </c>
      <c r="Q502" s="128">
        <v>1E-3</v>
      </c>
      <c r="R502" s="136">
        <v>3</v>
      </c>
      <c r="S502" s="136">
        <v>1500</v>
      </c>
      <c r="T502" s="128">
        <v>0.1</v>
      </c>
      <c r="U502" s="127">
        <v>184495</v>
      </c>
      <c r="V502" s="35"/>
      <c r="W502" s="99">
        <f t="shared" si="732"/>
        <v>30488</v>
      </c>
      <c r="X502" s="100">
        <f t="shared" si="733"/>
        <v>55.416699999999999</v>
      </c>
      <c r="Y502" s="100">
        <f t="shared" si="734"/>
        <v>12.829700000000001</v>
      </c>
      <c r="Z502" s="22">
        <f t="shared" si="735"/>
        <v>8195</v>
      </c>
      <c r="AA502" s="35">
        <f t="shared" si="736"/>
        <v>0</v>
      </c>
      <c r="AB502" s="22">
        <f t="shared" ref="AB502:AB565" si="817">H502</f>
        <v>1</v>
      </c>
      <c r="AC502" s="137">
        <f>ROUND(I502+mwreg!$G$60/100,3)</f>
        <v>-1.355</v>
      </c>
      <c r="AD502" s="134">
        <f>ROUND(J502+mwreg!$G$60/100,3)</f>
        <v>1.694</v>
      </c>
      <c r="AE502" s="134">
        <f>ROUND(K502+mwreg!$G$60/100,3)</f>
        <v>0.246</v>
      </c>
      <c r="AF502" s="100">
        <f t="shared" si="779"/>
        <v>0.2787</v>
      </c>
      <c r="AG502" s="100">
        <f t="shared" si="780"/>
        <v>7.9699999999999993E-2</v>
      </c>
      <c r="AH502" s="164">
        <f t="shared" si="764"/>
        <v>8.5000000000000006E-2</v>
      </c>
      <c r="AI502" s="135">
        <f t="shared" si="765"/>
        <v>180</v>
      </c>
      <c r="AJ502" s="135">
        <f t="shared" si="766"/>
        <v>60</v>
      </c>
      <c r="AK502" s="134">
        <f t="shared" si="767"/>
        <v>1E-3</v>
      </c>
      <c r="AL502" s="135">
        <f t="shared" si="768"/>
        <v>3</v>
      </c>
      <c r="AM502" s="135">
        <f t="shared" si="769"/>
        <v>1500</v>
      </c>
      <c r="AN502" s="134">
        <f t="shared" si="770"/>
        <v>0.1</v>
      </c>
      <c r="AO502" s="187">
        <f t="shared" si="777"/>
        <v>184495</v>
      </c>
    </row>
    <row r="503" spans="1:41" x14ac:dyDescent="0.2">
      <c r="A503" s="3" t="s">
        <v>296</v>
      </c>
      <c r="B503" s="3" t="s">
        <v>296</v>
      </c>
      <c r="C503" s="55">
        <v>30488</v>
      </c>
      <c r="D503" s="79">
        <v>55.416699999999999</v>
      </c>
      <c r="E503" s="79">
        <v>12.829700000000001</v>
      </c>
      <c r="F503" s="14">
        <v>8195</v>
      </c>
      <c r="G503" s="10">
        <v>0</v>
      </c>
      <c r="H503" s="122">
        <v>2</v>
      </c>
      <c r="I503" s="165">
        <v>-1.448</v>
      </c>
      <c r="J503" s="11">
        <v>1.2250000000000001</v>
      </c>
      <c r="K503" s="11">
        <v>4.2999999999999997E-2</v>
      </c>
      <c r="L503" s="79">
        <v>0.2611</v>
      </c>
      <c r="M503" s="129">
        <v>0.1099</v>
      </c>
      <c r="N503" s="129">
        <v>0.114</v>
      </c>
      <c r="O503" s="136">
        <v>180</v>
      </c>
      <c r="P503" s="136">
        <v>60</v>
      </c>
      <c r="Q503" s="128">
        <v>1E-3</v>
      </c>
      <c r="R503" s="136">
        <v>3</v>
      </c>
      <c r="S503" s="136">
        <v>1500</v>
      </c>
      <c r="T503" s="128">
        <v>0.1</v>
      </c>
      <c r="U503" s="127">
        <v>170795</v>
      </c>
      <c r="V503" s="35"/>
      <c r="W503" s="99">
        <f t="shared" si="732"/>
        <v>30488</v>
      </c>
      <c r="X503" s="100">
        <f t="shared" si="733"/>
        <v>55.416699999999999</v>
      </c>
      <c r="Y503" s="100">
        <f t="shared" si="734"/>
        <v>12.829700000000001</v>
      </c>
      <c r="Z503" s="22">
        <f t="shared" si="735"/>
        <v>8195</v>
      </c>
      <c r="AA503" s="35">
        <f t="shared" si="736"/>
        <v>0</v>
      </c>
      <c r="AB503" s="22">
        <f t="shared" si="817"/>
        <v>2</v>
      </c>
      <c r="AC503" s="137">
        <f>ROUND(I503+mwreg!$G$60/100,3)</f>
        <v>-1.2889999999999999</v>
      </c>
      <c r="AD503" s="134">
        <f>ROUND(J503+mwreg!$G$60/100,3)</f>
        <v>1.3839999999999999</v>
      </c>
      <c r="AE503" s="134">
        <f>ROUND(K503+mwreg!$G$60/100,3)</f>
        <v>0.20200000000000001</v>
      </c>
      <c r="AF503" s="100">
        <f t="shared" si="779"/>
        <v>0.2611</v>
      </c>
      <c r="AG503" s="100">
        <f t="shared" si="780"/>
        <v>0.1099</v>
      </c>
      <c r="AH503" s="164">
        <f t="shared" si="764"/>
        <v>0.114</v>
      </c>
      <c r="AI503" s="135">
        <f t="shared" si="765"/>
        <v>180</v>
      </c>
      <c r="AJ503" s="135">
        <f t="shared" si="766"/>
        <v>60</v>
      </c>
      <c r="AK503" s="134">
        <f t="shared" si="767"/>
        <v>1E-3</v>
      </c>
      <c r="AL503" s="135">
        <f t="shared" si="768"/>
        <v>3</v>
      </c>
      <c r="AM503" s="135">
        <f t="shared" si="769"/>
        <v>1500</v>
      </c>
      <c r="AN503" s="134">
        <f t="shared" si="770"/>
        <v>0.1</v>
      </c>
      <c r="AO503" s="187">
        <f t="shared" si="777"/>
        <v>170795</v>
      </c>
    </row>
    <row r="504" spans="1:41" x14ac:dyDescent="0.2">
      <c r="A504" s="3" t="s">
        <v>296</v>
      </c>
      <c r="B504" s="3" t="s">
        <v>296</v>
      </c>
      <c r="C504" s="55">
        <v>30488</v>
      </c>
      <c r="D504" s="79">
        <v>55.416699999999999</v>
      </c>
      <c r="E504" s="79">
        <v>12.829700000000001</v>
      </c>
      <c r="F504" s="14">
        <v>8195</v>
      </c>
      <c r="G504" s="10">
        <v>0</v>
      </c>
      <c r="H504" s="122">
        <v>3</v>
      </c>
      <c r="I504" s="165">
        <v>-1.2110000000000001</v>
      </c>
      <c r="J504" s="11">
        <v>0.98699999999999999</v>
      </c>
      <c r="K504" s="11">
        <v>0.03</v>
      </c>
      <c r="L504" s="79">
        <v>0.2366</v>
      </c>
      <c r="M504" s="129">
        <v>6.4199999999999993E-2</v>
      </c>
      <c r="N504" s="129">
        <v>6.83E-2</v>
      </c>
      <c r="O504" s="136">
        <v>180</v>
      </c>
      <c r="P504" s="136">
        <v>60</v>
      </c>
      <c r="Q504" s="128">
        <v>1E-3</v>
      </c>
      <c r="R504" s="136">
        <v>3</v>
      </c>
      <c r="S504" s="136">
        <v>1500</v>
      </c>
      <c r="T504" s="128">
        <v>0.1</v>
      </c>
      <c r="U504" s="127">
        <v>185260</v>
      </c>
      <c r="V504" s="35"/>
      <c r="W504" s="99">
        <f t="shared" si="732"/>
        <v>30488</v>
      </c>
      <c r="X504" s="100">
        <f t="shared" si="733"/>
        <v>55.416699999999999</v>
      </c>
      <c r="Y504" s="100">
        <f t="shared" si="734"/>
        <v>12.829700000000001</v>
      </c>
      <c r="Z504" s="22">
        <f t="shared" si="735"/>
        <v>8195</v>
      </c>
      <c r="AA504" s="35">
        <f t="shared" si="736"/>
        <v>0</v>
      </c>
      <c r="AB504" s="22">
        <f t="shared" si="817"/>
        <v>3</v>
      </c>
      <c r="AC504" s="137">
        <f>ROUND(I504+mwreg!$G$60/100,3)</f>
        <v>-1.052</v>
      </c>
      <c r="AD504" s="134">
        <f>ROUND(J504+mwreg!$G$60/100,3)</f>
        <v>1.1459999999999999</v>
      </c>
      <c r="AE504" s="134">
        <f>ROUND(K504+mwreg!$G$60/100,3)</f>
        <v>0.189</v>
      </c>
      <c r="AF504" s="100">
        <f t="shared" si="779"/>
        <v>0.2366</v>
      </c>
      <c r="AG504" s="100">
        <f t="shared" si="780"/>
        <v>6.4199999999999993E-2</v>
      </c>
      <c r="AH504" s="164">
        <f t="shared" si="764"/>
        <v>6.83E-2</v>
      </c>
      <c r="AI504" s="135">
        <f t="shared" si="765"/>
        <v>180</v>
      </c>
      <c r="AJ504" s="135">
        <f t="shared" si="766"/>
        <v>60</v>
      </c>
      <c r="AK504" s="134">
        <f t="shared" si="767"/>
        <v>1E-3</v>
      </c>
      <c r="AL504" s="135">
        <f t="shared" si="768"/>
        <v>3</v>
      </c>
      <c r="AM504" s="135">
        <f t="shared" si="769"/>
        <v>1500</v>
      </c>
      <c r="AN504" s="134">
        <f t="shared" si="770"/>
        <v>0.1</v>
      </c>
      <c r="AO504" s="187">
        <f t="shared" si="777"/>
        <v>185260</v>
      </c>
    </row>
    <row r="505" spans="1:41" x14ac:dyDescent="0.2">
      <c r="A505" s="3" t="s">
        <v>296</v>
      </c>
      <c r="B505" s="3" t="s">
        <v>296</v>
      </c>
      <c r="C505" s="55">
        <v>30488</v>
      </c>
      <c r="D505" s="79">
        <v>55.416699999999999</v>
      </c>
      <c r="E505" s="79">
        <v>12.829700000000001</v>
      </c>
      <c r="F505" s="14">
        <v>8195</v>
      </c>
      <c r="G505" s="10">
        <v>0</v>
      </c>
      <c r="H505" s="122">
        <v>4</v>
      </c>
      <c r="I505" s="165">
        <v>-0.83799999999999997</v>
      </c>
      <c r="J505" s="11">
        <v>1.321</v>
      </c>
      <c r="K505" s="11">
        <v>-2.9000000000000001E-2</v>
      </c>
      <c r="L505" s="79">
        <v>0.1681</v>
      </c>
      <c r="M505" s="129">
        <v>0.14319999999999999</v>
      </c>
      <c r="N505" s="129">
        <v>0.14699999999999999</v>
      </c>
      <c r="O505" s="136">
        <v>180</v>
      </c>
      <c r="P505" s="136">
        <v>60</v>
      </c>
      <c r="Q505" s="128">
        <v>1E-3</v>
      </c>
      <c r="R505" s="136">
        <v>3</v>
      </c>
      <c r="S505" s="136">
        <v>1500</v>
      </c>
      <c r="T505" s="128">
        <v>0.1</v>
      </c>
      <c r="U505" s="127">
        <v>177914</v>
      </c>
      <c r="V505" s="35"/>
      <c r="W505" s="99">
        <f t="shared" si="732"/>
        <v>30488</v>
      </c>
      <c r="X505" s="100">
        <f t="shared" si="733"/>
        <v>55.416699999999999</v>
      </c>
      <c r="Y505" s="100">
        <f t="shared" si="734"/>
        <v>12.829700000000001</v>
      </c>
      <c r="Z505" s="22">
        <f t="shared" si="735"/>
        <v>8195</v>
      </c>
      <c r="AA505" s="35">
        <f t="shared" si="736"/>
        <v>0</v>
      </c>
      <c r="AB505" s="22">
        <f t="shared" si="817"/>
        <v>4</v>
      </c>
      <c r="AC505" s="137">
        <f>ROUND(I505+mwreg!$G$60/100,3)</f>
        <v>-0.67900000000000005</v>
      </c>
      <c r="AD505" s="134">
        <f>ROUND(J505+mwreg!$G$60/100,3)</f>
        <v>1.48</v>
      </c>
      <c r="AE505" s="134">
        <f>ROUND(K505+mwreg!$G$60/100,3)</f>
        <v>0.13</v>
      </c>
      <c r="AF505" s="100">
        <f t="shared" si="779"/>
        <v>0.1681</v>
      </c>
      <c r="AG505" s="100">
        <f t="shared" si="780"/>
        <v>0.14319999999999999</v>
      </c>
      <c r="AH505" s="164">
        <f t="shared" si="764"/>
        <v>0.14699999999999999</v>
      </c>
      <c r="AI505" s="135">
        <f t="shared" si="765"/>
        <v>180</v>
      </c>
      <c r="AJ505" s="135">
        <f t="shared" si="766"/>
        <v>60</v>
      </c>
      <c r="AK505" s="134">
        <f t="shared" si="767"/>
        <v>1E-3</v>
      </c>
      <c r="AL505" s="135">
        <f t="shared" si="768"/>
        <v>3</v>
      </c>
      <c r="AM505" s="135">
        <f t="shared" si="769"/>
        <v>1500</v>
      </c>
      <c r="AN505" s="134">
        <f t="shared" si="770"/>
        <v>0.1</v>
      </c>
      <c r="AO505" s="187">
        <f t="shared" si="777"/>
        <v>177914</v>
      </c>
    </row>
    <row r="506" spans="1:41" x14ac:dyDescent="0.2">
      <c r="A506" s="3" t="s">
        <v>296</v>
      </c>
      <c r="B506" s="3" t="s">
        <v>296</v>
      </c>
      <c r="C506" s="55">
        <v>30488</v>
      </c>
      <c r="D506" s="79">
        <v>55.416699999999999</v>
      </c>
      <c r="E506" s="79">
        <v>12.829700000000001</v>
      </c>
      <c r="F506" s="14">
        <v>8195</v>
      </c>
      <c r="G506" s="10">
        <v>0</v>
      </c>
      <c r="H506" s="122">
        <v>5</v>
      </c>
      <c r="I506" s="165">
        <v>-0.66600000000000004</v>
      </c>
      <c r="J506" s="11">
        <v>0.627</v>
      </c>
      <c r="K506" s="11">
        <v>-2.5000000000000001E-2</v>
      </c>
      <c r="L506" s="79">
        <v>0.1363</v>
      </c>
      <c r="M506" s="129">
        <v>6.9000000000000006E-2</v>
      </c>
      <c r="N506" s="129">
        <v>7.2999999999999995E-2</v>
      </c>
      <c r="O506" s="136">
        <v>180</v>
      </c>
      <c r="P506" s="136">
        <v>60</v>
      </c>
      <c r="Q506" s="128">
        <v>1E-3</v>
      </c>
      <c r="R506" s="136">
        <v>3</v>
      </c>
      <c r="S506" s="136">
        <v>1500</v>
      </c>
      <c r="T506" s="128">
        <v>0.1</v>
      </c>
      <c r="U506" s="127">
        <v>186485</v>
      </c>
      <c r="V506" s="35"/>
      <c r="W506" s="99">
        <f t="shared" si="732"/>
        <v>30488</v>
      </c>
      <c r="X506" s="100">
        <f t="shared" si="733"/>
        <v>55.416699999999999</v>
      </c>
      <c r="Y506" s="100">
        <f t="shared" si="734"/>
        <v>12.829700000000001</v>
      </c>
      <c r="Z506" s="22">
        <f t="shared" si="735"/>
        <v>8195</v>
      </c>
      <c r="AA506" s="35">
        <f t="shared" si="736"/>
        <v>0</v>
      </c>
      <c r="AB506" s="22">
        <f t="shared" si="817"/>
        <v>5</v>
      </c>
      <c r="AC506" s="137">
        <f>ROUND(I506+mwreg!$G$60/100,3)</f>
        <v>-0.50700000000000001</v>
      </c>
      <c r="AD506" s="134">
        <f>ROUND(J506+mwreg!$G$60/100,3)</f>
        <v>0.78600000000000003</v>
      </c>
      <c r="AE506" s="134">
        <f>ROUND(K506+mwreg!$G$60/100,3)</f>
        <v>0.13400000000000001</v>
      </c>
      <c r="AF506" s="100">
        <f t="shared" si="779"/>
        <v>0.1363</v>
      </c>
      <c r="AG506" s="100">
        <f t="shared" si="780"/>
        <v>6.9000000000000006E-2</v>
      </c>
      <c r="AH506" s="164">
        <f t="shared" si="764"/>
        <v>7.2999999999999995E-2</v>
      </c>
      <c r="AI506" s="135">
        <f t="shared" si="765"/>
        <v>180</v>
      </c>
      <c r="AJ506" s="135">
        <f t="shared" si="766"/>
        <v>60</v>
      </c>
      <c r="AK506" s="134">
        <f t="shared" si="767"/>
        <v>1E-3</v>
      </c>
      <c r="AL506" s="135">
        <f t="shared" si="768"/>
        <v>3</v>
      </c>
      <c r="AM506" s="135">
        <f t="shared" si="769"/>
        <v>1500</v>
      </c>
      <c r="AN506" s="134">
        <f t="shared" si="770"/>
        <v>0.1</v>
      </c>
      <c r="AO506" s="187">
        <f t="shared" si="777"/>
        <v>186485</v>
      </c>
    </row>
    <row r="507" spans="1:41" x14ac:dyDescent="0.2">
      <c r="A507" s="3" t="s">
        <v>296</v>
      </c>
      <c r="B507" s="3" t="s">
        <v>296</v>
      </c>
      <c r="C507" s="55">
        <v>30488</v>
      </c>
      <c r="D507" s="79">
        <v>55.416699999999999</v>
      </c>
      <c r="E507" s="79">
        <v>12.829700000000001</v>
      </c>
      <c r="F507" s="14">
        <v>8195</v>
      </c>
      <c r="G507" s="10">
        <v>0</v>
      </c>
      <c r="H507" s="122">
        <v>6</v>
      </c>
      <c r="I507" s="165">
        <v>-0.91</v>
      </c>
      <c r="J507" s="11">
        <v>0.624</v>
      </c>
      <c r="K507" s="11">
        <v>-4.0000000000000001E-3</v>
      </c>
      <c r="L507" s="79">
        <v>0.13100000000000001</v>
      </c>
      <c r="M507" s="129">
        <v>0.13170000000000001</v>
      </c>
      <c r="N507" s="129">
        <v>0.13600000000000001</v>
      </c>
      <c r="O507" s="136">
        <v>180</v>
      </c>
      <c r="P507" s="136">
        <v>60</v>
      </c>
      <c r="Q507" s="128">
        <v>1E-3</v>
      </c>
      <c r="R507" s="136">
        <v>3</v>
      </c>
      <c r="S507" s="136">
        <v>1500</v>
      </c>
      <c r="T507" s="128">
        <v>0.1</v>
      </c>
      <c r="U507" s="127">
        <v>178514</v>
      </c>
      <c r="V507" s="35"/>
      <c r="W507" s="99">
        <f t="shared" si="732"/>
        <v>30488</v>
      </c>
      <c r="X507" s="100">
        <f t="shared" si="733"/>
        <v>55.416699999999999</v>
      </c>
      <c r="Y507" s="100">
        <f t="shared" si="734"/>
        <v>12.829700000000001</v>
      </c>
      <c r="Z507" s="22">
        <f t="shared" si="735"/>
        <v>8195</v>
      </c>
      <c r="AA507" s="35">
        <f t="shared" si="736"/>
        <v>0</v>
      </c>
      <c r="AB507" s="22">
        <f t="shared" si="817"/>
        <v>6</v>
      </c>
      <c r="AC507" s="137">
        <f>ROUND(I507+mwreg!$G$60/100,3)</f>
        <v>-0.751</v>
      </c>
      <c r="AD507" s="134">
        <f>ROUND(J507+mwreg!$G$60/100,3)</f>
        <v>0.78300000000000003</v>
      </c>
      <c r="AE507" s="134">
        <f>ROUND(K507+mwreg!$G$60/100,3)</f>
        <v>0.155</v>
      </c>
      <c r="AF507" s="100">
        <f t="shared" si="779"/>
        <v>0.13100000000000001</v>
      </c>
      <c r="AG507" s="100">
        <f t="shared" si="780"/>
        <v>0.13170000000000001</v>
      </c>
      <c r="AH507" s="164">
        <f t="shared" si="764"/>
        <v>0.13600000000000001</v>
      </c>
      <c r="AI507" s="135">
        <f t="shared" si="765"/>
        <v>180</v>
      </c>
      <c r="AJ507" s="135">
        <f t="shared" si="766"/>
        <v>60</v>
      </c>
      <c r="AK507" s="134">
        <f t="shared" si="767"/>
        <v>1E-3</v>
      </c>
      <c r="AL507" s="135">
        <f t="shared" si="768"/>
        <v>3</v>
      </c>
      <c r="AM507" s="135">
        <f t="shared" si="769"/>
        <v>1500</v>
      </c>
      <c r="AN507" s="134">
        <f t="shared" si="770"/>
        <v>0.1</v>
      </c>
      <c r="AO507" s="187">
        <f t="shared" si="777"/>
        <v>178514</v>
      </c>
    </row>
    <row r="508" spans="1:41" x14ac:dyDescent="0.2">
      <c r="A508" s="3" t="s">
        <v>296</v>
      </c>
      <c r="B508" s="3" t="s">
        <v>296</v>
      </c>
      <c r="C508" s="55">
        <v>30488</v>
      </c>
      <c r="D508" s="79">
        <v>55.416699999999999</v>
      </c>
      <c r="E508" s="79">
        <v>12.829700000000001</v>
      </c>
      <c r="F508" s="14">
        <v>8195</v>
      </c>
      <c r="G508" s="10">
        <v>0</v>
      </c>
      <c r="H508" s="122">
        <v>7</v>
      </c>
      <c r="I508" s="165">
        <v>-0.68899999999999995</v>
      </c>
      <c r="J508" s="11">
        <v>0.51300000000000001</v>
      </c>
      <c r="K508" s="11">
        <v>6.3E-2</v>
      </c>
      <c r="L508" s="79">
        <v>0.1353</v>
      </c>
      <c r="M508" s="129">
        <v>8.2199999999999995E-2</v>
      </c>
      <c r="N508" s="129">
        <v>8.5999999999999993E-2</v>
      </c>
      <c r="O508" s="136">
        <v>180</v>
      </c>
      <c r="P508" s="136">
        <v>60</v>
      </c>
      <c r="Q508" s="128">
        <v>1E-3</v>
      </c>
      <c r="R508" s="136">
        <v>3</v>
      </c>
      <c r="S508" s="136">
        <v>1500</v>
      </c>
      <c r="T508" s="128">
        <v>0.1</v>
      </c>
      <c r="U508" s="127">
        <v>185097</v>
      </c>
      <c r="V508" s="35"/>
      <c r="W508" s="99">
        <f t="shared" si="732"/>
        <v>30488</v>
      </c>
      <c r="X508" s="100">
        <f t="shared" si="733"/>
        <v>55.416699999999999</v>
      </c>
      <c r="Y508" s="100">
        <f t="shared" si="734"/>
        <v>12.829700000000001</v>
      </c>
      <c r="Z508" s="22">
        <f t="shared" si="735"/>
        <v>8195</v>
      </c>
      <c r="AA508" s="35">
        <f t="shared" si="736"/>
        <v>0</v>
      </c>
      <c r="AB508" s="22">
        <f t="shared" si="817"/>
        <v>7</v>
      </c>
      <c r="AC508" s="137">
        <f>ROUND(I508+mwreg!$G$60/100,3)</f>
        <v>-0.53</v>
      </c>
      <c r="AD508" s="134">
        <f>ROUND(J508+mwreg!$G$60/100,3)</f>
        <v>0.67200000000000004</v>
      </c>
      <c r="AE508" s="134">
        <f>ROUND(K508+mwreg!$G$60/100,3)</f>
        <v>0.222</v>
      </c>
      <c r="AF508" s="100">
        <f t="shared" si="779"/>
        <v>0.1353</v>
      </c>
      <c r="AG508" s="100">
        <f t="shared" si="780"/>
        <v>8.2199999999999995E-2</v>
      </c>
      <c r="AH508" s="164">
        <f t="shared" si="764"/>
        <v>8.5999999999999993E-2</v>
      </c>
      <c r="AI508" s="135">
        <f t="shared" si="765"/>
        <v>180</v>
      </c>
      <c r="AJ508" s="135">
        <f t="shared" si="766"/>
        <v>60</v>
      </c>
      <c r="AK508" s="134">
        <f t="shared" si="767"/>
        <v>1E-3</v>
      </c>
      <c r="AL508" s="135">
        <f t="shared" si="768"/>
        <v>3</v>
      </c>
      <c r="AM508" s="135">
        <f t="shared" si="769"/>
        <v>1500</v>
      </c>
      <c r="AN508" s="134">
        <f t="shared" si="770"/>
        <v>0.1</v>
      </c>
      <c r="AO508" s="187">
        <f t="shared" si="777"/>
        <v>185097</v>
      </c>
    </row>
    <row r="509" spans="1:41" x14ac:dyDescent="0.2">
      <c r="A509" s="3" t="s">
        <v>296</v>
      </c>
      <c r="B509" s="3" t="s">
        <v>296</v>
      </c>
      <c r="C509" s="55">
        <v>30488</v>
      </c>
      <c r="D509" s="79">
        <v>55.416699999999999</v>
      </c>
      <c r="E509" s="79">
        <v>12.829700000000001</v>
      </c>
      <c r="F509" s="14">
        <v>8195</v>
      </c>
      <c r="G509" s="10">
        <v>0</v>
      </c>
      <c r="H509" s="122">
        <v>8</v>
      </c>
      <c r="I509" s="165">
        <v>-0.80400000000000005</v>
      </c>
      <c r="J509" s="11">
        <v>0.73299999999999998</v>
      </c>
      <c r="K509" s="11">
        <v>4.1000000000000002E-2</v>
      </c>
      <c r="L509" s="79">
        <v>0.13150000000000001</v>
      </c>
      <c r="M509" s="129">
        <v>0.11409999999999999</v>
      </c>
      <c r="N509" s="129">
        <v>0.11899999999999999</v>
      </c>
      <c r="O509" s="136">
        <v>180</v>
      </c>
      <c r="P509" s="136">
        <v>60</v>
      </c>
      <c r="Q509" s="128">
        <v>1E-3</v>
      </c>
      <c r="R509" s="136">
        <v>3</v>
      </c>
      <c r="S509" s="136">
        <v>1500</v>
      </c>
      <c r="T509" s="128">
        <v>0.1</v>
      </c>
      <c r="U509" s="127">
        <v>184573</v>
      </c>
      <c r="V509" s="35"/>
      <c r="W509" s="99">
        <f t="shared" si="732"/>
        <v>30488</v>
      </c>
      <c r="X509" s="100">
        <f t="shared" si="733"/>
        <v>55.416699999999999</v>
      </c>
      <c r="Y509" s="100">
        <f t="shared" si="734"/>
        <v>12.829700000000001</v>
      </c>
      <c r="Z509" s="22">
        <f t="shared" si="735"/>
        <v>8195</v>
      </c>
      <c r="AA509" s="35">
        <f t="shared" si="736"/>
        <v>0</v>
      </c>
      <c r="AB509" s="22">
        <f t="shared" si="817"/>
        <v>8</v>
      </c>
      <c r="AC509" s="137">
        <f>ROUND(I509+mwreg!$G$60/100,3)</f>
        <v>-0.64500000000000002</v>
      </c>
      <c r="AD509" s="134">
        <f>ROUND(J509+mwreg!$G$60/100,3)</f>
        <v>0.89200000000000002</v>
      </c>
      <c r="AE509" s="134">
        <f>ROUND(K509+mwreg!$G$60/100,3)</f>
        <v>0.2</v>
      </c>
      <c r="AF509" s="100">
        <f t="shared" si="779"/>
        <v>0.13150000000000001</v>
      </c>
      <c r="AG509" s="100">
        <f t="shared" si="780"/>
        <v>0.11409999999999999</v>
      </c>
      <c r="AH509" s="164">
        <f t="shared" si="764"/>
        <v>0.11899999999999999</v>
      </c>
      <c r="AI509" s="135">
        <f t="shared" si="765"/>
        <v>180</v>
      </c>
      <c r="AJ509" s="135">
        <f t="shared" si="766"/>
        <v>60</v>
      </c>
      <c r="AK509" s="134">
        <f t="shared" si="767"/>
        <v>1E-3</v>
      </c>
      <c r="AL509" s="135">
        <f t="shared" si="768"/>
        <v>3</v>
      </c>
      <c r="AM509" s="135">
        <f t="shared" si="769"/>
        <v>1500</v>
      </c>
      <c r="AN509" s="134">
        <f t="shared" si="770"/>
        <v>0.1</v>
      </c>
      <c r="AO509" s="187">
        <f t="shared" si="777"/>
        <v>184573</v>
      </c>
    </row>
    <row r="510" spans="1:41" x14ac:dyDescent="0.2">
      <c r="A510" s="3" t="s">
        <v>296</v>
      </c>
      <c r="B510" s="3" t="s">
        <v>296</v>
      </c>
      <c r="C510" s="55">
        <v>30488</v>
      </c>
      <c r="D510" s="79">
        <v>55.416699999999999</v>
      </c>
      <c r="E510" s="79">
        <v>12.829700000000001</v>
      </c>
      <c r="F510" s="14">
        <v>8195</v>
      </c>
      <c r="G510" s="10">
        <v>0</v>
      </c>
      <c r="H510" s="122">
        <v>9</v>
      </c>
      <c r="I510" s="165">
        <v>-0.98699999999999999</v>
      </c>
      <c r="J510" s="11">
        <v>0.85299999999999998</v>
      </c>
      <c r="K510" s="11">
        <v>5.8999999999999997E-2</v>
      </c>
      <c r="L510" s="79">
        <v>0.1908</v>
      </c>
      <c r="M510" s="129">
        <v>0.1173</v>
      </c>
      <c r="N510" s="129">
        <v>0.121</v>
      </c>
      <c r="O510" s="136">
        <v>180</v>
      </c>
      <c r="P510" s="136">
        <v>60</v>
      </c>
      <c r="Q510" s="128">
        <v>1E-3</v>
      </c>
      <c r="R510" s="136">
        <v>3</v>
      </c>
      <c r="S510" s="136">
        <v>1500</v>
      </c>
      <c r="T510" s="128">
        <v>0.1</v>
      </c>
      <c r="U510" s="127">
        <v>200734</v>
      </c>
      <c r="V510" s="35"/>
      <c r="W510" s="99">
        <f t="shared" si="732"/>
        <v>30488</v>
      </c>
      <c r="X510" s="100">
        <f t="shared" si="733"/>
        <v>55.416699999999999</v>
      </c>
      <c r="Y510" s="100">
        <f t="shared" si="734"/>
        <v>12.829700000000001</v>
      </c>
      <c r="Z510" s="22">
        <f t="shared" si="735"/>
        <v>8195</v>
      </c>
      <c r="AA510" s="35">
        <f t="shared" si="736"/>
        <v>0</v>
      </c>
      <c r="AB510" s="22">
        <f t="shared" si="817"/>
        <v>9</v>
      </c>
      <c r="AC510" s="137">
        <f>ROUND(I510+mwreg!$G$60/100,3)</f>
        <v>-0.82799999999999996</v>
      </c>
      <c r="AD510" s="134">
        <f>ROUND(J510+mwreg!$G$60/100,3)</f>
        <v>1.012</v>
      </c>
      <c r="AE510" s="134">
        <f>ROUND(K510+mwreg!$G$60/100,3)</f>
        <v>0.218</v>
      </c>
      <c r="AF510" s="100">
        <f t="shared" si="779"/>
        <v>0.1908</v>
      </c>
      <c r="AG510" s="100">
        <f t="shared" si="780"/>
        <v>0.1173</v>
      </c>
      <c r="AH510" s="164">
        <f t="shared" si="764"/>
        <v>0.121</v>
      </c>
      <c r="AI510" s="135">
        <f t="shared" si="765"/>
        <v>180</v>
      </c>
      <c r="AJ510" s="135">
        <f t="shared" si="766"/>
        <v>60</v>
      </c>
      <c r="AK510" s="134">
        <f t="shared" si="767"/>
        <v>1E-3</v>
      </c>
      <c r="AL510" s="135">
        <f t="shared" si="768"/>
        <v>3</v>
      </c>
      <c r="AM510" s="135">
        <f t="shared" si="769"/>
        <v>1500</v>
      </c>
      <c r="AN510" s="134">
        <f t="shared" si="770"/>
        <v>0.1</v>
      </c>
      <c r="AO510" s="187">
        <f t="shared" si="777"/>
        <v>200734</v>
      </c>
    </row>
    <row r="511" spans="1:41" x14ac:dyDescent="0.2">
      <c r="A511" s="3" t="s">
        <v>296</v>
      </c>
      <c r="B511" s="3" t="s">
        <v>296</v>
      </c>
      <c r="C511" s="55">
        <v>30488</v>
      </c>
      <c r="D511" s="79">
        <v>55.416699999999999</v>
      </c>
      <c r="E511" s="79">
        <v>12.829700000000001</v>
      </c>
      <c r="F511" s="14">
        <v>8195</v>
      </c>
      <c r="G511" s="10">
        <v>0</v>
      </c>
      <c r="H511" s="122">
        <v>10</v>
      </c>
      <c r="I511" s="165">
        <v>-1.2170000000000001</v>
      </c>
      <c r="J511" s="11">
        <v>0.95399999999999996</v>
      </c>
      <c r="K511" s="11">
        <v>7.0000000000000007E-2</v>
      </c>
      <c r="L511" s="79">
        <v>0.22320000000000001</v>
      </c>
      <c r="M511" s="129">
        <v>7.4999999999999997E-2</v>
      </c>
      <c r="N511" s="129">
        <v>7.9000000000000001E-2</v>
      </c>
      <c r="O511" s="136">
        <v>180</v>
      </c>
      <c r="P511" s="136">
        <v>60</v>
      </c>
      <c r="Q511" s="128">
        <v>1E-3</v>
      </c>
      <c r="R511" s="136">
        <v>3</v>
      </c>
      <c r="S511" s="136">
        <v>1500</v>
      </c>
      <c r="T511" s="128">
        <v>0.1</v>
      </c>
      <c r="U511" s="127">
        <v>229117</v>
      </c>
      <c r="V511" s="35"/>
      <c r="W511" s="99">
        <f t="shared" si="732"/>
        <v>30488</v>
      </c>
      <c r="X511" s="100">
        <f t="shared" si="733"/>
        <v>55.416699999999999</v>
      </c>
      <c r="Y511" s="100">
        <f t="shared" si="734"/>
        <v>12.829700000000001</v>
      </c>
      <c r="Z511" s="22">
        <f t="shared" si="735"/>
        <v>8195</v>
      </c>
      <c r="AA511" s="35">
        <f t="shared" si="736"/>
        <v>0</v>
      </c>
      <c r="AB511" s="22">
        <f t="shared" si="817"/>
        <v>10</v>
      </c>
      <c r="AC511" s="137">
        <f>ROUND(I511+mwreg!$G$60/100,3)</f>
        <v>-1.0580000000000001</v>
      </c>
      <c r="AD511" s="134">
        <f>ROUND(J511+mwreg!$G$60/100,3)</f>
        <v>1.113</v>
      </c>
      <c r="AE511" s="134">
        <f>ROUND(K511+mwreg!$G$60/100,3)</f>
        <v>0.22900000000000001</v>
      </c>
      <c r="AF511" s="100">
        <f t="shared" si="779"/>
        <v>0.22320000000000001</v>
      </c>
      <c r="AG511" s="100">
        <f t="shared" si="780"/>
        <v>7.4999999999999997E-2</v>
      </c>
      <c r="AH511" s="164">
        <f t="shared" si="764"/>
        <v>7.9000000000000001E-2</v>
      </c>
      <c r="AI511" s="135">
        <f t="shared" si="765"/>
        <v>180</v>
      </c>
      <c r="AJ511" s="135">
        <f t="shared" si="766"/>
        <v>60</v>
      </c>
      <c r="AK511" s="134">
        <f t="shared" si="767"/>
        <v>1E-3</v>
      </c>
      <c r="AL511" s="135">
        <f t="shared" si="768"/>
        <v>3</v>
      </c>
      <c r="AM511" s="135">
        <f t="shared" si="769"/>
        <v>1500</v>
      </c>
      <c r="AN511" s="134">
        <f t="shared" si="770"/>
        <v>0.1</v>
      </c>
      <c r="AO511" s="187">
        <f t="shared" si="777"/>
        <v>229117</v>
      </c>
    </row>
    <row r="512" spans="1:41" x14ac:dyDescent="0.2">
      <c r="A512" s="3" t="s">
        <v>296</v>
      </c>
      <c r="B512" s="3" t="s">
        <v>296</v>
      </c>
      <c r="C512" s="55">
        <v>30488</v>
      </c>
      <c r="D512" s="79">
        <v>55.416699999999999</v>
      </c>
      <c r="E512" s="79">
        <v>12.829700000000001</v>
      </c>
      <c r="F512" s="14">
        <v>8195</v>
      </c>
      <c r="G512" s="10">
        <v>0</v>
      </c>
      <c r="H512" s="122">
        <v>11</v>
      </c>
      <c r="I512" s="165">
        <v>-1.502</v>
      </c>
      <c r="J512" s="11">
        <v>1.258</v>
      </c>
      <c r="K512" s="11">
        <v>3.4000000000000002E-2</v>
      </c>
      <c r="L512" s="79">
        <v>0.23749999999999999</v>
      </c>
      <c r="M512" s="129">
        <v>5.3699999999999998E-2</v>
      </c>
      <c r="N512" s="129">
        <v>5.8000000000000003E-2</v>
      </c>
      <c r="O512" s="136">
        <v>180</v>
      </c>
      <c r="P512" s="136">
        <v>60</v>
      </c>
      <c r="Q512" s="128">
        <v>1E-3</v>
      </c>
      <c r="R512" s="136">
        <v>3</v>
      </c>
      <c r="S512" s="136">
        <v>1500</v>
      </c>
      <c r="T512" s="128">
        <v>0.1</v>
      </c>
      <c r="U512" s="127">
        <v>216159</v>
      </c>
      <c r="V512" s="35"/>
      <c r="W512" s="99">
        <f t="shared" si="732"/>
        <v>30488</v>
      </c>
      <c r="X512" s="100">
        <f t="shared" si="733"/>
        <v>55.416699999999999</v>
      </c>
      <c r="Y512" s="100">
        <f t="shared" si="734"/>
        <v>12.829700000000001</v>
      </c>
      <c r="Z512" s="22">
        <f t="shared" si="735"/>
        <v>8195</v>
      </c>
      <c r="AA512" s="35">
        <f t="shared" si="736"/>
        <v>0</v>
      </c>
      <c r="AB512" s="22">
        <f t="shared" si="817"/>
        <v>11</v>
      </c>
      <c r="AC512" s="137">
        <f>ROUND(I512+mwreg!$G$60/100,3)</f>
        <v>-1.343</v>
      </c>
      <c r="AD512" s="134">
        <f>ROUND(J512+mwreg!$G$60/100,3)</f>
        <v>1.417</v>
      </c>
      <c r="AE512" s="134">
        <f>ROUND(K512+mwreg!$G$60/100,3)</f>
        <v>0.193</v>
      </c>
      <c r="AF512" s="100">
        <f t="shared" si="779"/>
        <v>0.23749999999999999</v>
      </c>
      <c r="AG512" s="100">
        <f t="shared" si="780"/>
        <v>5.3699999999999998E-2</v>
      </c>
      <c r="AH512" s="164">
        <f t="shared" si="764"/>
        <v>5.8000000000000003E-2</v>
      </c>
      <c r="AI512" s="135">
        <f t="shared" si="765"/>
        <v>180</v>
      </c>
      <c r="AJ512" s="135">
        <f t="shared" si="766"/>
        <v>60</v>
      </c>
      <c r="AK512" s="134">
        <f t="shared" si="767"/>
        <v>1E-3</v>
      </c>
      <c r="AL512" s="135">
        <f t="shared" si="768"/>
        <v>3</v>
      </c>
      <c r="AM512" s="135">
        <f t="shared" si="769"/>
        <v>1500</v>
      </c>
      <c r="AN512" s="134">
        <f t="shared" si="770"/>
        <v>0.1</v>
      </c>
      <c r="AO512" s="187">
        <f t="shared" si="777"/>
        <v>216159</v>
      </c>
    </row>
    <row r="513" spans="1:41" x14ac:dyDescent="0.2">
      <c r="A513" s="3" t="s">
        <v>296</v>
      </c>
      <c r="B513" s="3" t="s">
        <v>296</v>
      </c>
      <c r="C513" s="55">
        <v>30488</v>
      </c>
      <c r="D513" s="79">
        <v>55.416699999999999</v>
      </c>
      <c r="E513" s="79">
        <v>12.829700000000001</v>
      </c>
      <c r="F513" s="14">
        <v>8195</v>
      </c>
      <c r="G513" s="10">
        <v>0</v>
      </c>
      <c r="H513" s="122">
        <v>12</v>
      </c>
      <c r="I513" s="165">
        <v>-1.58</v>
      </c>
      <c r="J513" s="11">
        <v>1.1890000000000001</v>
      </c>
      <c r="K513" s="11">
        <v>2.8000000000000001E-2</v>
      </c>
      <c r="L513" s="79">
        <v>0.25790000000000002</v>
      </c>
      <c r="M513" s="129">
        <v>7.4899999999999994E-2</v>
      </c>
      <c r="N513" s="129">
        <v>7.9000000000000001E-2</v>
      </c>
      <c r="O513" s="136">
        <v>180</v>
      </c>
      <c r="P513" s="136">
        <v>60</v>
      </c>
      <c r="Q513" s="128">
        <v>1E-3</v>
      </c>
      <c r="R513" s="136">
        <v>3</v>
      </c>
      <c r="S513" s="136">
        <v>1500</v>
      </c>
      <c r="T513" s="128">
        <v>0.1</v>
      </c>
      <c r="U513" s="127">
        <v>189713</v>
      </c>
      <c r="V513" s="35"/>
      <c r="W513" s="99">
        <f t="shared" si="732"/>
        <v>30488</v>
      </c>
      <c r="X513" s="100">
        <f t="shared" si="733"/>
        <v>55.416699999999999</v>
      </c>
      <c r="Y513" s="100">
        <f t="shared" si="734"/>
        <v>12.829700000000001</v>
      </c>
      <c r="Z513" s="22">
        <f t="shared" si="735"/>
        <v>8195</v>
      </c>
      <c r="AA513" s="35">
        <f t="shared" si="736"/>
        <v>0</v>
      </c>
      <c r="AB513" s="22">
        <f t="shared" si="817"/>
        <v>12</v>
      </c>
      <c r="AC513" s="137">
        <f>ROUND(I513+mwreg!$G$60/100,3)</f>
        <v>-1.421</v>
      </c>
      <c r="AD513" s="134">
        <f>ROUND(J513+mwreg!$G$60/100,3)</f>
        <v>1.3480000000000001</v>
      </c>
      <c r="AE513" s="134">
        <f>ROUND(K513+mwreg!$G$60/100,3)</f>
        <v>0.187</v>
      </c>
      <c r="AF513" s="100">
        <f t="shared" si="779"/>
        <v>0.25790000000000002</v>
      </c>
      <c r="AG513" s="100">
        <f t="shared" si="780"/>
        <v>7.4899999999999994E-2</v>
      </c>
      <c r="AH513" s="164">
        <f t="shared" si="764"/>
        <v>7.9000000000000001E-2</v>
      </c>
      <c r="AI513" s="135">
        <f t="shared" si="765"/>
        <v>180</v>
      </c>
      <c r="AJ513" s="135">
        <f t="shared" si="766"/>
        <v>60</v>
      </c>
      <c r="AK513" s="134">
        <f t="shared" si="767"/>
        <v>1E-3</v>
      </c>
      <c r="AL513" s="135">
        <f t="shared" si="768"/>
        <v>3</v>
      </c>
      <c r="AM513" s="135">
        <f t="shared" si="769"/>
        <v>1500</v>
      </c>
      <c r="AN513" s="134">
        <f t="shared" si="770"/>
        <v>0.1</v>
      </c>
      <c r="AO513" s="187">
        <f t="shared" si="777"/>
        <v>189713</v>
      </c>
    </row>
    <row r="514" spans="1:41" x14ac:dyDescent="0.2">
      <c r="A514" s="3" t="str">
        <f>stat_uppg!A51</f>
        <v>2095/33066</v>
      </c>
      <c r="B514" s="3" t="str">
        <f>stat_uppg!B51</f>
        <v>KLAGSHAMN (SMHI)</v>
      </c>
      <c r="C514" s="55">
        <v>2095</v>
      </c>
      <c r="D514" s="79">
        <v>55.522199999999998</v>
      </c>
      <c r="E514" s="79">
        <v>12.893599999999999</v>
      </c>
      <c r="F514" s="14">
        <v>8195</v>
      </c>
      <c r="G514" s="10">
        <v>0</v>
      </c>
      <c r="H514" s="122">
        <v>1</v>
      </c>
      <c r="I514" s="120">
        <v>-1.0109999999999999</v>
      </c>
      <c r="J514" s="106">
        <v>1.4570000000000001</v>
      </c>
      <c r="K514" s="106">
        <v>9.1999999999999998E-2</v>
      </c>
      <c r="L514" s="100">
        <v>0.23569999999999999</v>
      </c>
      <c r="M514" s="129">
        <v>1.52E-2</v>
      </c>
      <c r="N514" s="129">
        <v>1.6299999999999999E-2</v>
      </c>
      <c r="O514" s="136">
        <v>180</v>
      </c>
      <c r="P514" s="136">
        <v>60</v>
      </c>
      <c r="Q514" s="128">
        <v>1E-3</v>
      </c>
      <c r="R514" s="136">
        <v>3</v>
      </c>
      <c r="S514" s="136">
        <v>1500</v>
      </c>
      <c r="T514" s="128">
        <v>0.1</v>
      </c>
      <c r="U514" s="127">
        <v>233152</v>
      </c>
      <c r="V514" s="35"/>
      <c r="W514" s="99">
        <f t="shared" ref="W514:W577" si="818">C514</f>
        <v>2095</v>
      </c>
      <c r="X514" s="100">
        <f t="shared" ref="X514:X577" si="819">D514</f>
        <v>55.522199999999998</v>
      </c>
      <c r="Y514" s="100">
        <f t="shared" ref="Y514:Y577" si="820">E514</f>
        <v>12.893599999999999</v>
      </c>
      <c r="Z514" s="22">
        <f t="shared" ref="Z514:Z577" si="821">F514</f>
        <v>8195</v>
      </c>
      <c r="AA514" s="35">
        <f t="shared" ref="AA514:AA577" si="822">G514</f>
        <v>0</v>
      </c>
      <c r="AB514" s="22">
        <f t="shared" si="817"/>
        <v>1</v>
      </c>
      <c r="AC514" s="137">
        <f>ROUND(I514+mwreg!$G$61/100,3)</f>
        <v>-0.88</v>
      </c>
      <c r="AD514" s="134">
        <f>ROUND(J514+mwreg!$G$61/100,3)</f>
        <v>1.5880000000000001</v>
      </c>
      <c r="AE514" s="134">
        <f>ROUND(K514+mwreg!$G$61/100,3)</f>
        <v>0.223</v>
      </c>
      <c r="AF514" s="100">
        <f t="shared" si="779"/>
        <v>0.23569999999999999</v>
      </c>
      <c r="AG514" s="100">
        <f t="shared" si="780"/>
        <v>1.52E-2</v>
      </c>
      <c r="AH514" s="164">
        <f t="shared" si="764"/>
        <v>1.6299999999999999E-2</v>
      </c>
      <c r="AI514" s="135">
        <f t="shared" si="765"/>
        <v>180</v>
      </c>
      <c r="AJ514" s="135">
        <f t="shared" si="766"/>
        <v>60</v>
      </c>
      <c r="AK514" s="134">
        <f t="shared" si="767"/>
        <v>1E-3</v>
      </c>
      <c r="AL514" s="135">
        <f t="shared" si="768"/>
        <v>3</v>
      </c>
      <c r="AM514" s="135">
        <f t="shared" si="769"/>
        <v>1500</v>
      </c>
      <c r="AN514" s="134">
        <f t="shared" si="770"/>
        <v>0.1</v>
      </c>
      <c r="AO514" s="187">
        <f t="shared" si="777"/>
        <v>233152</v>
      </c>
    </row>
    <row r="515" spans="1:41" x14ac:dyDescent="0.2">
      <c r="A515" s="3" t="s">
        <v>296</v>
      </c>
      <c r="B515" s="3" t="s">
        <v>296</v>
      </c>
      <c r="C515" s="55">
        <v>2095</v>
      </c>
      <c r="D515" s="79">
        <v>55.522199999999998</v>
      </c>
      <c r="E515" s="79">
        <v>12.893599999999999</v>
      </c>
      <c r="F515" s="14">
        <v>8195</v>
      </c>
      <c r="G515" s="10">
        <v>0</v>
      </c>
      <c r="H515" s="122">
        <v>2</v>
      </c>
      <c r="I515" s="120">
        <v>-0.94699999999999995</v>
      </c>
      <c r="J515" s="106">
        <v>1.341</v>
      </c>
      <c r="K515" s="106">
        <v>3.6999999999999998E-2</v>
      </c>
      <c r="L515" s="100">
        <v>0.23530000000000001</v>
      </c>
      <c r="M515" s="129">
        <v>4.7E-2</v>
      </c>
      <c r="N515" s="129">
        <v>4.8000000000000001E-2</v>
      </c>
      <c r="O515" s="136">
        <v>180</v>
      </c>
      <c r="P515" s="136">
        <v>60</v>
      </c>
      <c r="Q515" s="128">
        <v>1E-3</v>
      </c>
      <c r="R515" s="136">
        <v>3</v>
      </c>
      <c r="S515" s="136">
        <v>1500</v>
      </c>
      <c r="T515" s="128">
        <v>0.1</v>
      </c>
      <c r="U515" s="127">
        <v>214229</v>
      </c>
      <c r="V515" s="35"/>
      <c r="W515" s="99">
        <f t="shared" si="818"/>
        <v>2095</v>
      </c>
      <c r="X515" s="100">
        <f t="shared" si="819"/>
        <v>55.522199999999998</v>
      </c>
      <c r="Y515" s="100">
        <f t="shared" si="820"/>
        <v>12.893599999999999</v>
      </c>
      <c r="Z515" s="22">
        <f t="shared" si="821"/>
        <v>8195</v>
      </c>
      <c r="AA515" s="35">
        <f t="shared" si="822"/>
        <v>0</v>
      </c>
      <c r="AB515" s="22">
        <f t="shared" si="817"/>
        <v>2</v>
      </c>
      <c r="AC515" s="137">
        <f>ROUND(I515+mwreg!$G$61/100,3)</f>
        <v>-0.81599999999999995</v>
      </c>
      <c r="AD515" s="134">
        <f>ROUND(J515+mwreg!$G$61/100,3)</f>
        <v>1.472</v>
      </c>
      <c r="AE515" s="134">
        <f>ROUND(K515+mwreg!$G$61/100,3)</f>
        <v>0.16800000000000001</v>
      </c>
      <c r="AF515" s="100">
        <f t="shared" si="779"/>
        <v>0.23530000000000001</v>
      </c>
      <c r="AG515" s="100">
        <f t="shared" si="780"/>
        <v>4.7E-2</v>
      </c>
      <c r="AH515" s="164">
        <f t="shared" si="764"/>
        <v>4.8000000000000001E-2</v>
      </c>
      <c r="AI515" s="135">
        <f t="shared" si="765"/>
        <v>180</v>
      </c>
      <c r="AJ515" s="135">
        <f t="shared" si="766"/>
        <v>60</v>
      </c>
      <c r="AK515" s="134">
        <f t="shared" si="767"/>
        <v>1E-3</v>
      </c>
      <c r="AL515" s="135">
        <f t="shared" si="768"/>
        <v>3</v>
      </c>
      <c r="AM515" s="135">
        <f t="shared" si="769"/>
        <v>1500</v>
      </c>
      <c r="AN515" s="134">
        <f t="shared" si="770"/>
        <v>0.1</v>
      </c>
      <c r="AO515" s="187">
        <f t="shared" si="777"/>
        <v>214229</v>
      </c>
    </row>
    <row r="516" spans="1:41" x14ac:dyDescent="0.2">
      <c r="A516" s="3" t="s">
        <v>296</v>
      </c>
      <c r="B516" s="3" t="s">
        <v>296</v>
      </c>
      <c r="C516" s="55">
        <v>2095</v>
      </c>
      <c r="D516" s="79">
        <v>55.522199999999998</v>
      </c>
      <c r="E516" s="79">
        <v>12.893599999999999</v>
      </c>
      <c r="F516" s="14">
        <v>8195</v>
      </c>
      <c r="G516" s="10">
        <v>0</v>
      </c>
      <c r="H516" s="122">
        <v>3</v>
      </c>
      <c r="I516" s="120">
        <v>-1.01</v>
      </c>
      <c r="J516" s="106">
        <v>1.087</v>
      </c>
      <c r="K516" s="106">
        <v>3.0000000000000001E-3</v>
      </c>
      <c r="L516" s="100">
        <v>0.21909999999999999</v>
      </c>
      <c r="M516" s="129">
        <v>1.03E-2</v>
      </c>
      <c r="N516" s="129">
        <v>1.12E-2</v>
      </c>
      <c r="O516" s="136">
        <v>180</v>
      </c>
      <c r="P516" s="136">
        <v>60</v>
      </c>
      <c r="Q516" s="128">
        <v>1E-3</v>
      </c>
      <c r="R516" s="136">
        <v>3</v>
      </c>
      <c r="S516" s="136">
        <v>1500</v>
      </c>
      <c r="T516" s="128">
        <v>0.1</v>
      </c>
      <c r="U516" s="127">
        <v>239482</v>
      </c>
      <c r="V516" s="35"/>
      <c r="W516" s="99">
        <f t="shared" si="818"/>
        <v>2095</v>
      </c>
      <c r="X516" s="100">
        <f t="shared" si="819"/>
        <v>55.522199999999998</v>
      </c>
      <c r="Y516" s="100">
        <f t="shared" si="820"/>
        <v>12.893599999999999</v>
      </c>
      <c r="Z516" s="22">
        <f t="shared" si="821"/>
        <v>8195</v>
      </c>
      <c r="AA516" s="35">
        <f t="shared" si="822"/>
        <v>0</v>
      </c>
      <c r="AB516" s="22">
        <f t="shared" si="817"/>
        <v>3</v>
      </c>
      <c r="AC516" s="137">
        <f>ROUND(I516+mwreg!$G$61/100,3)</f>
        <v>-0.879</v>
      </c>
      <c r="AD516" s="134">
        <f>ROUND(J516+mwreg!$G$61/100,3)</f>
        <v>1.218</v>
      </c>
      <c r="AE516" s="134">
        <f>ROUND(K516+mwreg!$G$61/100,3)</f>
        <v>0.13400000000000001</v>
      </c>
      <c r="AF516" s="100">
        <f t="shared" si="779"/>
        <v>0.21909999999999999</v>
      </c>
      <c r="AG516" s="100">
        <f t="shared" si="780"/>
        <v>1.03E-2</v>
      </c>
      <c r="AH516" s="164">
        <f t="shared" si="764"/>
        <v>1.12E-2</v>
      </c>
      <c r="AI516" s="135">
        <f t="shared" si="765"/>
        <v>180</v>
      </c>
      <c r="AJ516" s="135">
        <f t="shared" si="766"/>
        <v>60</v>
      </c>
      <c r="AK516" s="134">
        <f t="shared" si="767"/>
        <v>1E-3</v>
      </c>
      <c r="AL516" s="135">
        <f t="shared" si="768"/>
        <v>3</v>
      </c>
      <c r="AM516" s="135">
        <f t="shared" si="769"/>
        <v>1500</v>
      </c>
      <c r="AN516" s="134">
        <f t="shared" si="770"/>
        <v>0.1</v>
      </c>
      <c r="AO516" s="187">
        <f t="shared" si="777"/>
        <v>239482</v>
      </c>
    </row>
    <row r="517" spans="1:41" x14ac:dyDescent="0.2">
      <c r="A517" s="3" t="s">
        <v>296</v>
      </c>
      <c r="B517" s="3" t="s">
        <v>296</v>
      </c>
      <c r="C517" s="55">
        <v>2095</v>
      </c>
      <c r="D517" s="79">
        <v>55.522199999999998</v>
      </c>
      <c r="E517" s="79">
        <v>12.893599999999999</v>
      </c>
      <c r="F517" s="14">
        <v>8195</v>
      </c>
      <c r="G517" s="10">
        <v>0</v>
      </c>
      <c r="H517" s="122">
        <v>4</v>
      </c>
      <c r="I517" s="120">
        <v>-0.68400000000000005</v>
      </c>
      <c r="J517" s="106">
        <v>1.2430000000000001</v>
      </c>
      <c r="K517" s="106">
        <v>-3.7999999999999999E-2</v>
      </c>
      <c r="L517" s="100">
        <v>0.1525</v>
      </c>
      <c r="M517" s="129">
        <v>1.8100000000000002E-2</v>
      </c>
      <c r="N517" s="129">
        <v>1.9E-2</v>
      </c>
      <c r="O517" s="136">
        <v>180</v>
      </c>
      <c r="P517" s="136">
        <v>60</v>
      </c>
      <c r="Q517" s="128">
        <v>1E-3</v>
      </c>
      <c r="R517" s="136">
        <v>3</v>
      </c>
      <c r="S517" s="136">
        <v>1500</v>
      </c>
      <c r="T517" s="128">
        <v>0.1</v>
      </c>
      <c r="U517" s="127">
        <v>234362</v>
      </c>
      <c r="V517" s="35"/>
      <c r="W517" s="99">
        <f t="shared" si="818"/>
        <v>2095</v>
      </c>
      <c r="X517" s="100">
        <f t="shared" si="819"/>
        <v>55.522199999999998</v>
      </c>
      <c r="Y517" s="100">
        <f t="shared" si="820"/>
        <v>12.893599999999999</v>
      </c>
      <c r="Z517" s="22">
        <f t="shared" si="821"/>
        <v>8195</v>
      </c>
      <c r="AA517" s="35">
        <f t="shared" si="822"/>
        <v>0</v>
      </c>
      <c r="AB517" s="22">
        <f t="shared" si="817"/>
        <v>4</v>
      </c>
      <c r="AC517" s="137">
        <f>ROUND(I517+mwreg!$G$61/100,3)</f>
        <v>-0.55300000000000005</v>
      </c>
      <c r="AD517" s="134">
        <f>ROUND(J517+mwreg!$G$61/100,3)</f>
        <v>1.3740000000000001</v>
      </c>
      <c r="AE517" s="134">
        <f>ROUND(K517+mwreg!$G$61/100,3)</f>
        <v>9.2999999999999999E-2</v>
      </c>
      <c r="AF517" s="100">
        <f t="shared" si="779"/>
        <v>0.1525</v>
      </c>
      <c r="AG517" s="100">
        <f t="shared" si="780"/>
        <v>1.8100000000000002E-2</v>
      </c>
      <c r="AH517" s="164">
        <f t="shared" si="764"/>
        <v>1.9E-2</v>
      </c>
      <c r="AI517" s="135">
        <f t="shared" si="765"/>
        <v>180</v>
      </c>
      <c r="AJ517" s="135">
        <f t="shared" si="766"/>
        <v>60</v>
      </c>
      <c r="AK517" s="134">
        <f t="shared" si="767"/>
        <v>1E-3</v>
      </c>
      <c r="AL517" s="135">
        <f t="shared" si="768"/>
        <v>3</v>
      </c>
      <c r="AM517" s="135">
        <f t="shared" si="769"/>
        <v>1500</v>
      </c>
      <c r="AN517" s="134">
        <f t="shared" si="770"/>
        <v>0.1</v>
      </c>
      <c r="AO517" s="187">
        <f t="shared" si="777"/>
        <v>234362</v>
      </c>
    </row>
    <row r="518" spans="1:41" x14ac:dyDescent="0.2">
      <c r="A518" s="3" t="s">
        <v>296</v>
      </c>
      <c r="B518" s="3" t="s">
        <v>296</v>
      </c>
      <c r="C518" s="55">
        <v>2095</v>
      </c>
      <c r="D518" s="79">
        <v>55.522199999999998</v>
      </c>
      <c r="E518" s="79">
        <v>12.893599999999999</v>
      </c>
      <c r="F518" s="14">
        <v>8195</v>
      </c>
      <c r="G518" s="10">
        <v>0</v>
      </c>
      <c r="H518" s="122">
        <v>5</v>
      </c>
      <c r="I518" s="120">
        <v>-0.64</v>
      </c>
      <c r="J518" s="106">
        <v>0.59199999999999997</v>
      </c>
      <c r="K518" s="106">
        <v>-3.2000000000000001E-2</v>
      </c>
      <c r="L518" s="100">
        <v>0.1246</v>
      </c>
      <c r="M518" s="129">
        <v>1.26E-2</v>
      </c>
      <c r="N518" s="129">
        <v>1.34E-2</v>
      </c>
      <c r="O518" s="136">
        <v>180</v>
      </c>
      <c r="P518" s="136">
        <v>60</v>
      </c>
      <c r="Q518" s="128">
        <v>1E-3</v>
      </c>
      <c r="R518" s="136">
        <v>3</v>
      </c>
      <c r="S518" s="136">
        <v>1500</v>
      </c>
      <c r="T518" s="128">
        <v>0.1</v>
      </c>
      <c r="U518" s="127">
        <v>241985</v>
      </c>
      <c r="V518" s="35"/>
      <c r="W518" s="99">
        <f t="shared" si="818"/>
        <v>2095</v>
      </c>
      <c r="X518" s="100">
        <f t="shared" si="819"/>
        <v>55.522199999999998</v>
      </c>
      <c r="Y518" s="100">
        <f t="shared" si="820"/>
        <v>12.893599999999999</v>
      </c>
      <c r="Z518" s="22">
        <f t="shared" si="821"/>
        <v>8195</v>
      </c>
      <c r="AA518" s="35">
        <f t="shared" si="822"/>
        <v>0</v>
      </c>
      <c r="AB518" s="22">
        <f t="shared" si="817"/>
        <v>5</v>
      </c>
      <c r="AC518" s="137">
        <f>ROUND(I518+mwreg!$G$61/100,3)</f>
        <v>-0.50900000000000001</v>
      </c>
      <c r="AD518" s="134">
        <f>ROUND(J518+mwreg!$G$61/100,3)</f>
        <v>0.72299999999999998</v>
      </c>
      <c r="AE518" s="134">
        <f>ROUND(K518+mwreg!$G$61/100,3)</f>
        <v>9.9000000000000005E-2</v>
      </c>
      <c r="AF518" s="100">
        <f t="shared" si="779"/>
        <v>0.1246</v>
      </c>
      <c r="AG518" s="100">
        <f t="shared" si="780"/>
        <v>1.26E-2</v>
      </c>
      <c r="AH518" s="164">
        <f t="shared" si="764"/>
        <v>1.34E-2</v>
      </c>
      <c r="AI518" s="135">
        <f t="shared" si="765"/>
        <v>180</v>
      </c>
      <c r="AJ518" s="135">
        <f t="shared" si="766"/>
        <v>60</v>
      </c>
      <c r="AK518" s="134">
        <f t="shared" si="767"/>
        <v>1E-3</v>
      </c>
      <c r="AL518" s="135">
        <f t="shared" si="768"/>
        <v>3</v>
      </c>
      <c r="AM518" s="135">
        <f t="shared" si="769"/>
        <v>1500</v>
      </c>
      <c r="AN518" s="134">
        <f t="shared" si="770"/>
        <v>0.1</v>
      </c>
      <c r="AO518" s="187">
        <f t="shared" si="777"/>
        <v>241985</v>
      </c>
    </row>
    <row r="519" spans="1:41" x14ac:dyDescent="0.2">
      <c r="A519" s="3" t="s">
        <v>296</v>
      </c>
      <c r="B519" s="3" t="s">
        <v>296</v>
      </c>
      <c r="C519" s="55">
        <v>2095</v>
      </c>
      <c r="D519" s="79">
        <v>55.522199999999998</v>
      </c>
      <c r="E519" s="79">
        <v>12.893599999999999</v>
      </c>
      <c r="F519" s="14">
        <v>8195</v>
      </c>
      <c r="G519" s="10">
        <v>0</v>
      </c>
      <c r="H519" s="122">
        <v>6</v>
      </c>
      <c r="I519" s="120">
        <v>-0.498</v>
      </c>
      <c r="J519" s="106">
        <v>0.65100000000000002</v>
      </c>
      <c r="K519" s="106">
        <v>-1E-3</v>
      </c>
      <c r="L519" s="100">
        <v>0.1167</v>
      </c>
      <c r="M519" s="129">
        <v>4.41E-2</v>
      </c>
      <c r="N519" s="129">
        <v>4.4999999999999998E-2</v>
      </c>
      <c r="O519" s="136">
        <v>180</v>
      </c>
      <c r="P519" s="136">
        <v>60</v>
      </c>
      <c r="Q519" s="128">
        <v>1E-3</v>
      </c>
      <c r="R519" s="136">
        <v>3</v>
      </c>
      <c r="S519" s="136">
        <v>1500</v>
      </c>
      <c r="T519" s="128">
        <v>0.1</v>
      </c>
      <c r="U519" s="127">
        <v>230001</v>
      </c>
      <c r="V519" s="35"/>
      <c r="W519" s="99">
        <f t="shared" si="818"/>
        <v>2095</v>
      </c>
      <c r="X519" s="100">
        <f t="shared" si="819"/>
        <v>55.522199999999998</v>
      </c>
      <c r="Y519" s="100">
        <f t="shared" si="820"/>
        <v>12.893599999999999</v>
      </c>
      <c r="Z519" s="22">
        <f t="shared" si="821"/>
        <v>8195</v>
      </c>
      <c r="AA519" s="35">
        <f t="shared" si="822"/>
        <v>0</v>
      </c>
      <c r="AB519" s="22">
        <f t="shared" si="817"/>
        <v>6</v>
      </c>
      <c r="AC519" s="137">
        <f>ROUND(I519+mwreg!$G$61/100,3)</f>
        <v>-0.36699999999999999</v>
      </c>
      <c r="AD519" s="134">
        <f>ROUND(J519+mwreg!$G$61/100,3)</f>
        <v>0.78200000000000003</v>
      </c>
      <c r="AE519" s="134">
        <f>ROUND(K519+mwreg!$G$61/100,3)</f>
        <v>0.13</v>
      </c>
      <c r="AF519" s="100">
        <f t="shared" si="779"/>
        <v>0.1167</v>
      </c>
      <c r="AG519" s="100">
        <f t="shared" si="780"/>
        <v>4.41E-2</v>
      </c>
      <c r="AH519" s="164">
        <f t="shared" si="764"/>
        <v>4.4999999999999998E-2</v>
      </c>
      <c r="AI519" s="135">
        <f t="shared" si="765"/>
        <v>180</v>
      </c>
      <c r="AJ519" s="135">
        <f t="shared" si="766"/>
        <v>60</v>
      </c>
      <c r="AK519" s="134">
        <f t="shared" si="767"/>
        <v>1E-3</v>
      </c>
      <c r="AL519" s="135">
        <f t="shared" si="768"/>
        <v>3</v>
      </c>
      <c r="AM519" s="135">
        <f t="shared" si="769"/>
        <v>1500</v>
      </c>
      <c r="AN519" s="134">
        <f t="shared" si="770"/>
        <v>0.1</v>
      </c>
      <c r="AO519" s="187">
        <f t="shared" si="777"/>
        <v>230001</v>
      </c>
    </row>
    <row r="520" spans="1:41" x14ac:dyDescent="0.2">
      <c r="A520" s="3" t="s">
        <v>296</v>
      </c>
      <c r="B520" s="3" t="s">
        <v>296</v>
      </c>
      <c r="C520" s="55">
        <v>2095</v>
      </c>
      <c r="D520" s="79">
        <v>55.522199999999998</v>
      </c>
      <c r="E520" s="79">
        <v>12.893599999999999</v>
      </c>
      <c r="F520" s="14">
        <v>8195</v>
      </c>
      <c r="G520" s="10">
        <v>0</v>
      </c>
      <c r="H520" s="122">
        <v>7</v>
      </c>
      <c r="I520" s="120">
        <v>-0.47699999999999998</v>
      </c>
      <c r="J520" s="106">
        <v>0.79</v>
      </c>
      <c r="K520" s="106">
        <v>7.1999999999999995E-2</v>
      </c>
      <c r="L520" s="100">
        <v>0.1134</v>
      </c>
      <c r="M520" s="129">
        <v>4.2099999999999999E-2</v>
      </c>
      <c r="N520" s="129">
        <v>4.2999999999999997E-2</v>
      </c>
      <c r="O520" s="136">
        <v>180</v>
      </c>
      <c r="P520" s="136">
        <v>60</v>
      </c>
      <c r="Q520" s="128">
        <v>1E-3</v>
      </c>
      <c r="R520" s="136">
        <v>3</v>
      </c>
      <c r="S520" s="136">
        <v>1500</v>
      </c>
      <c r="T520" s="128">
        <v>0.1</v>
      </c>
      <c r="U520" s="127">
        <v>238398</v>
      </c>
      <c r="V520" s="35"/>
      <c r="W520" s="99">
        <f t="shared" si="818"/>
        <v>2095</v>
      </c>
      <c r="X520" s="100">
        <f t="shared" si="819"/>
        <v>55.522199999999998</v>
      </c>
      <c r="Y520" s="100">
        <f t="shared" si="820"/>
        <v>12.893599999999999</v>
      </c>
      <c r="Z520" s="22">
        <f t="shared" si="821"/>
        <v>8195</v>
      </c>
      <c r="AA520" s="35">
        <f t="shared" si="822"/>
        <v>0</v>
      </c>
      <c r="AB520" s="22">
        <f t="shared" si="817"/>
        <v>7</v>
      </c>
      <c r="AC520" s="137">
        <f>ROUND(I520+mwreg!$G$61/100,3)</f>
        <v>-0.34599999999999997</v>
      </c>
      <c r="AD520" s="134">
        <f>ROUND(J520+mwreg!$G$61/100,3)</f>
        <v>0.92100000000000004</v>
      </c>
      <c r="AE520" s="134">
        <f>ROUND(K520+mwreg!$G$61/100,3)</f>
        <v>0.20300000000000001</v>
      </c>
      <c r="AF520" s="100">
        <f t="shared" si="779"/>
        <v>0.1134</v>
      </c>
      <c r="AG520" s="100">
        <f t="shared" si="780"/>
        <v>4.2099999999999999E-2</v>
      </c>
      <c r="AH520" s="164">
        <f t="shared" si="764"/>
        <v>4.2999999999999997E-2</v>
      </c>
      <c r="AI520" s="135">
        <f t="shared" si="765"/>
        <v>180</v>
      </c>
      <c r="AJ520" s="135">
        <f t="shared" si="766"/>
        <v>60</v>
      </c>
      <c r="AK520" s="134">
        <f t="shared" si="767"/>
        <v>1E-3</v>
      </c>
      <c r="AL520" s="135">
        <f t="shared" si="768"/>
        <v>3</v>
      </c>
      <c r="AM520" s="135">
        <f t="shared" si="769"/>
        <v>1500</v>
      </c>
      <c r="AN520" s="134">
        <f t="shared" si="770"/>
        <v>0.1</v>
      </c>
      <c r="AO520" s="187">
        <f t="shared" si="777"/>
        <v>238398</v>
      </c>
    </row>
    <row r="521" spans="1:41" x14ac:dyDescent="0.2">
      <c r="A521" s="3" t="s">
        <v>296</v>
      </c>
      <c r="B521" s="3" t="s">
        <v>296</v>
      </c>
      <c r="C521" s="55">
        <v>2095</v>
      </c>
      <c r="D521" s="79">
        <v>55.522199999999998</v>
      </c>
      <c r="E521" s="79">
        <v>12.893599999999999</v>
      </c>
      <c r="F521" s="14">
        <v>8195</v>
      </c>
      <c r="G521" s="10">
        <v>0</v>
      </c>
      <c r="H521" s="122">
        <v>8</v>
      </c>
      <c r="I521" s="120">
        <v>-0.53600000000000003</v>
      </c>
      <c r="J521" s="106">
        <v>0.64200000000000002</v>
      </c>
      <c r="K521" s="106">
        <v>0.05</v>
      </c>
      <c r="L521" s="100">
        <v>0.1167</v>
      </c>
      <c r="M521" s="129">
        <v>4.9099999999999998E-2</v>
      </c>
      <c r="N521" s="129">
        <v>0.05</v>
      </c>
      <c r="O521" s="136">
        <v>180</v>
      </c>
      <c r="P521" s="136">
        <v>60</v>
      </c>
      <c r="Q521" s="128">
        <v>1E-3</v>
      </c>
      <c r="R521" s="136">
        <v>3</v>
      </c>
      <c r="S521" s="136">
        <v>1500</v>
      </c>
      <c r="T521" s="128">
        <v>0.1</v>
      </c>
      <c r="U521" s="127">
        <v>238096</v>
      </c>
      <c r="V521" s="35"/>
      <c r="W521" s="99">
        <f t="shared" si="818"/>
        <v>2095</v>
      </c>
      <c r="X521" s="100">
        <f t="shared" si="819"/>
        <v>55.522199999999998</v>
      </c>
      <c r="Y521" s="100">
        <f t="shared" si="820"/>
        <v>12.893599999999999</v>
      </c>
      <c r="Z521" s="22">
        <f t="shared" si="821"/>
        <v>8195</v>
      </c>
      <c r="AA521" s="35">
        <f t="shared" si="822"/>
        <v>0</v>
      </c>
      <c r="AB521" s="22">
        <f t="shared" si="817"/>
        <v>8</v>
      </c>
      <c r="AC521" s="137">
        <f>ROUND(I521+mwreg!$G$61/100,3)</f>
        <v>-0.40500000000000003</v>
      </c>
      <c r="AD521" s="134">
        <f>ROUND(J521+mwreg!$G$61/100,3)</f>
        <v>0.77300000000000002</v>
      </c>
      <c r="AE521" s="134">
        <f>ROUND(K521+mwreg!$G$61/100,3)</f>
        <v>0.18099999999999999</v>
      </c>
      <c r="AF521" s="100">
        <f t="shared" si="779"/>
        <v>0.1167</v>
      </c>
      <c r="AG521" s="100">
        <f t="shared" si="780"/>
        <v>4.9099999999999998E-2</v>
      </c>
      <c r="AH521" s="164">
        <f t="shared" si="764"/>
        <v>0.05</v>
      </c>
      <c r="AI521" s="135">
        <f t="shared" si="765"/>
        <v>180</v>
      </c>
      <c r="AJ521" s="135">
        <f t="shared" si="766"/>
        <v>60</v>
      </c>
      <c r="AK521" s="134">
        <f t="shared" si="767"/>
        <v>1E-3</v>
      </c>
      <c r="AL521" s="135">
        <f t="shared" si="768"/>
        <v>3</v>
      </c>
      <c r="AM521" s="135">
        <f t="shared" si="769"/>
        <v>1500</v>
      </c>
      <c r="AN521" s="134">
        <f t="shared" si="770"/>
        <v>0.1</v>
      </c>
      <c r="AO521" s="187">
        <f t="shared" si="777"/>
        <v>238096</v>
      </c>
    </row>
    <row r="522" spans="1:41" x14ac:dyDescent="0.2">
      <c r="A522" s="3" t="s">
        <v>296</v>
      </c>
      <c r="B522" s="3" t="s">
        <v>296</v>
      </c>
      <c r="C522" s="55">
        <v>2095</v>
      </c>
      <c r="D522" s="79">
        <v>55.522199999999998</v>
      </c>
      <c r="E522" s="79">
        <v>12.893599999999999</v>
      </c>
      <c r="F522" s="14">
        <v>8195</v>
      </c>
      <c r="G522" s="10">
        <v>0</v>
      </c>
      <c r="H522" s="122">
        <v>9</v>
      </c>
      <c r="I522" s="120">
        <v>-0.82</v>
      </c>
      <c r="J522" s="106">
        <v>1.0920000000000001</v>
      </c>
      <c r="K522" s="106">
        <v>6.7000000000000004E-2</v>
      </c>
      <c r="L522" s="100">
        <v>0.15529999999999999</v>
      </c>
      <c r="M522" s="129">
        <v>4.8899999999999999E-2</v>
      </c>
      <c r="N522" s="129">
        <v>0.05</v>
      </c>
      <c r="O522" s="136">
        <v>180</v>
      </c>
      <c r="P522" s="136">
        <v>60</v>
      </c>
      <c r="Q522" s="128">
        <v>1E-3</v>
      </c>
      <c r="R522" s="136">
        <v>3</v>
      </c>
      <c r="S522" s="136">
        <v>1500</v>
      </c>
      <c r="T522" s="128">
        <v>0.1</v>
      </c>
      <c r="U522" s="127">
        <v>265499</v>
      </c>
      <c r="V522" s="35"/>
      <c r="W522" s="99">
        <f t="shared" si="818"/>
        <v>2095</v>
      </c>
      <c r="X522" s="100">
        <f t="shared" si="819"/>
        <v>55.522199999999998</v>
      </c>
      <c r="Y522" s="100">
        <f t="shared" si="820"/>
        <v>12.893599999999999</v>
      </c>
      <c r="Z522" s="22">
        <f t="shared" si="821"/>
        <v>8195</v>
      </c>
      <c r="AA522" s="35">
        <f t="shared" si="822"/>
        <v>0</v>
      </c>
      <c r="AB522" s="22">
        <f t="shared" si="817"/>
        <v>9</v>
      </c>
      <c r="AC522" s="137">
        <f>ROUND(I522+mwreg!$G$61/100,3)</f>
        <v>-0.68899999999999995</v>
      </c>
      <c r="AD522" s="134">
        <f>ROUND(J522+mwreg!$G$61/100,3)</f>
        <v>1.2230000000000001</v>
      </c>
      <c r="AE522" s="134">
        <f>ROUND(K522+mwreg!$G$61/100,3)</f>
        <v>0.19800000000000001</v>
      </c>
      <c r="AF522" s="100">
        <f t="shared" si="779"/>
        <v>0.15529999999999999</v>
      </c>
      <c r="AG522" s="100">
        <f t="shared" si="780"/>
        <v>4.8899999999999999E-2</v>
      </c>
      <c r="AH522" s="164">
        <f t="shared" si="764"/>
        <v>0.05</v>
      </c>
      <c r="AI522" s="135">
        <f t="shared" si="765"/>
        <v>180</v>
      </c>
      <c r="AJ522" s="135">
        <f t="shared" si="766"/>
        <v>60</v>
      </c>
      <c r="AK522" s="134">
        <f t="shared" si="767"/>
        <v>1E-3</v>
      </c>
      <c r="AL522" s="135">
        <f t="shared" si="768"/>
        <v>3</v>
      </c>
      <c r="AM522" s="135">
        <f t="shared" si="769"/>
        <v>1500</v>
      </c>
      <c r="AN522" s="134">
        <f t="shared" si="770"/>
        <v>0.1</v>
      </c>
      <c r="AO522" s="187">
        <f t="shared" si="777"/>
        <v>265499</v>
      </c>
    </row>
    <row r="523" spans="1:41" x14ac:dyDescent="0.2">
      <c r="A523" s="3" t="s">
        <v>296</v>
      </c>
      <c r="B523" s="3" t="s">
        <v>296</v>
      </c>
      <c r="C523" s="55">
        <v>2095</v>
      </c>
      <c r="D523" s="79">
        <v>55.522199999999998</v>
      </c>
      <c r="E523" s="79">
        <v>12.893599999999999</v>
      </c>
      <c r="F523" s="14">
        <v>8195</v>
      </c>
      <c r="G523" s="10">
        <v>0</v>
      </c>
      <c r="H523" s="122">
        <v>10</v>
      </c>
      <c r="I523" s="120">
        <v>-0.97899999999999998</v>
      </c>
      <c r="J523" s="106">
        <v>1.2509999999999999</v>
      </c>
      <c r="K523" s="106">
        <v>0.08</v>
      </c>
      <c r="L523" s="100">
        <v>0.19120000000000001</v>
      </c>
      <c r="M523" s="129">
        <v>2.0799999999999999E-2</v>
      </c>
      <c r="N523" s="129">
        <v>2.1999999999999999E-2</v>
      </c>
      <c r="O523" s="136">
        <v>180</v>
      </c>
      <c r="P523" s="136">
        <v>60</v>
      </c>
      <c r="Q523" s="128">
        <v>1E-3</v>
      </c>
      <c r="R523" s="136">
        <v>3</v>
      </c>
      <c r="S523" s="136">
        <v>1500</v>
      </c>
      <c r="T523" s="128">
        <v>0.1</v>
      </c>
      <c r="U523" s="127">
        <v>278816</v>
      </c>
      <c r="V523" s="35"/>
      <c r="W523" s="99">
        <f t="shared" si="818"/>
        <v>2095</v>
      </c>
      <c r="X523" s="100">
        <f t="shared" si="819"/>
        <v>55.522199999999998</v>
      </c>
      <c r="Y523" s="100">
        <f t="shared" si="820"/>
        <v>12.893599999999999</v>
      </c>
      <c r="Z523" s="22">
        <f t="shared" si="821"/>
        <v>8195</v>
      </c>
      <c r="AA523" s="35">
        <f t="shared" si="822"/>
        <v>0</v>
      </c>
      <c r="AB523" s="22">
        <f t="shared" si="817"/>
        <v>10</v>
      </c>
      <c r="AC523" s="137">
        <f>ROUND(I523+mwreg!$G$61/100,3)</f>
        <v>-0.84799999999999998</v>
      </c>
      <c r="AD523" s="134">
        <f>ROUND(J523+mwreg!$G$61/100,3)</f>
        <v>1.3819999999999999</v>
      </c>
      <c r="AE523" s="134">
        <f>ROUND(K523+mwreg!$G$61/100,3)</f>
        <v>0.21099999999999999</v>
      </c>
      <c r="AF523" s="100">
        <f t="shared" si="779"/>
        <v>0.19120000000000001</v>
      </c>
      <c r="AG523" s="100">
        <f t="shared" si="780"/>
        <v>2.0799999999999999E-2</v>
      </c>
      <c r="AH523" s="164">
        <f t="shared" si="764"/>
        <v>2.1999999999999999E-2</v>
      </c>
      <c r="AI523" s="135">
        <f t="shared" si="765"/>
        <v>180</v>
      </c>
      <c r="AJ523" s="135">
        <f t="shared" si="766"/>
        <v>60</v>
      </c>
      <c r="AK523" s="134">
        <f t="shared" si="767"/>
        <v>1E-3</v>
      </c>
      <c r="AL523" s="135">
        <f t="shared" si="768"/>
        <v>3</v>
      </c>
      <c r="AM523" s="135">
        <f t="shared" si="769"/>
        <v>1500</v>
      </c>
      <c r="AN523" s="134">
        <f t="shared" si="770"/>
        <v>0.1</v>
      </c>
      <c r="AO523" s="187">
        <f t="shared" si="777"/>
        <v>278816</v>
      </c>
    </row>
    <row r="524" spans="1:41" x14ac:dyDescent="0.2">
      <c r="A524" s="3" t="s">
        <v>296</v>
      </c>
      <c r="B524" s="3" t="s">
        <v>296</v>
      </c>
      <c r="C524" s="55">
        <v>2095</v>
      </c>
      <c r="D524" s="79">
        <v>55.522199999999998</v>
      </c>
      <c r="E524" s="79">
        <v>12.893599999999999</v>
      </c>
      <c r="F524" s="14">
        <v>8195</v>
      </c>
      <c r="G524" s="10">
        <v>0</v>
      </c>
      <c r="H524" s="122">
        <v>11</v>
      </c>
      <c r="I524" s="120">
        <v>-0.95099999999999996</v>
      </c>
      <c r="J524" s="106">
        <v>1.298</v>
      </c>
      <c r="K524" s="106">
        <v>4.3999999999999997E-2</v>
      </c>
      <c r="L524" s="100">
        <v>0.2054</v>
      </c>
      <c r="M524" s="129">
        <v>5.2299999999999999E-2</v>
      </c>
      <c r="N524" s="129">
        <v>5.3600000000000002E-2</v>
      </c>
      <c r="O524" s="136">
        <v>180</v>
      </c>
      <c r="P524" s="136">
        <v>60</v>
      </c>
      <c r="Q524" s="128">
        <v>1E-3</v>
      </c>
      <c r="R524" s="136">
        <v>3</v>
      </c>
      <c r="S524" s="136">
        <v>1500</v>
      </c>
      <c r="T524" s="128">
        <v>0.1</v>
      </c>
      <c r="U524" s="127">
        <v>269152</v>
      </c>
      <c r="V524" s="35"/>
      <c r="W524" s="99">
        <f t="shared" si="818"/>
        <v>2095</v>
      </c>
      <c r="X524" s="100">
        <f t="shared" si="819"/>
        <v>55.522199999999998</v>
      </c>
      <c r="Y524" s="100">
        <f t="shared" si="820"/>
        <v>12.893599999999999</v>
      </c>
      <c r="Z524" s="22">
        <f t="shared" si="821"/>
        <v>8195</v>
      </c>
      <c r="AA524" s="35">
        <f t="shared" si="822"/>
        <v>0</v>
      </c>
      <c r="AB524" s="22">
        <f t="shared" si="817"/>
        <v>11</v>
      </c>
      <c r="AC524" s="137">
        <f>ROUND(I524+mwreg!$G$61/100,3)</f>
        <v>-0.82</v>
      </c>
      <c r="AD524" s="134">
        <f>ROUND(J524+mwreg!$G$61/100,3)</f>
        <v>1.429</v>
      </c>
      <c r="AE524" s="134">
        <f>ROUND(K524+mwreg!$G$61/100,3)</f>
        <v>0.17499999999999999</v>
      </c>
      <c r="AF524" s="100">
        <f t="shared" si="779"/>
        <v>0.2054</v>
      </c>
      <c r="AG524" s="100">
        <f t="shared" si="780"/>
        <v>5.2299999999999999E-2</v>
      </c>
      <c r="AH524" s="164">
        <f t="shared" si="764"/>
        <v>5.3600000000000002E-2</v>
      </c>
      <c r="AI524" s="135">
        <f t="shared" si="765"/>
        <v>180</v>
      </c>
      <c r="AJ524" s="135">
        <f t="shared" si="766"/>
        <v>60</v>
      </c>
      <c r="AK524" s="134">
        <f t="shared" si="767"/>
        <v>1E-3</v>
      </c>
      <c r="AL524" s="135">
        <f t="shared" si="768"/>
        <v>3</v>
      </c>
      <c r="AM524" s="135">
        <f t="shared" si="769"/>
        <v>1500</v>
      </c>
      <c r="AN524" s="134">
        <f t="shared" si="770"/>
        <v>0.1</v>
      </c>
      <c r="AO524" s="187">
        <f t="shared" si="777"/>
        <v>269152</v>
      </c>
    </row>
    <row r="525" spans="1:41" x14ac:dyDescent="0.2">
      <c r="A525" s="3" t="s">
        <v>296</v>
      </c>
      <c r="B525" s="3" t="s">
        <v>296</v>
      </c>
      <c r="C525" s="55">
        <v>2095</v>
      </c>
      <c r="D525" s="79">
        <v>55.522199999999998</v>
      </c>
      <c r="E525" s="79">
        <v>12.893599999999999</v>
      </c>
      <c r="F525" s="14">
        <v>8195</v>
      </c>
      <c r="G525" s="10">
        <v>0</v>
      </c>
      <c r="H525" s="122">
        <v>12</v>
      </c>
      <c r="I525" s="120">
        <v>-0.94799999999999995</v>
      </c>
      <c r="J525" s="106">
        <v>1.2909999999999999</v>
      </c>
      <c r="K525" s="106">
        <v>4.8000000000000001E-2</v>
      </c>
      <c r="L525" s="100">
        <v>0.21479999999999999</v>
      </c>
      <c r="M525" s="129">
        <v>4.2099999999999999E-2</v>
      </c>
      <c r="N525" s="129">
        <v>4.3299999999999998E-2</v>
      </c>
      <c r="O525" s="136">
        <v>180</v>
      </c>
      <c r="P525" s="136">
        <v>60</v>
      </c>
      <c r="Q525" s="128">
        <v>1E-3</v>
      </c>
      <c r="R525" s="136">
        <v>3</v>
      </c>
      <c r="S525" s="136">
        <v>1500</v>
      </c>
      <c r="T525" s="128">
        <v>0.1</v>
      </c>
      <c r="U525" s="127">
        <v>239043</v>
      </c>
      <c r="V525" s="35"/>
      <c r="W525" s="99">
        <f t="shared" si="818"/>
        <v>2095</v>
      </c>
      <c r="X525" s="100">
        <f t="shared" si="819"/>
        <v>55.522199999999998</v>
      </c>
      <c r="Y525" s="100">
        <f t="shared" si="820"/>
        <v>12.893599999999999</v>
      </c>
      <c r="Z525" s="22">
        <f t="shared" si="821"/>
        <v>8195</v>
      </c>
      <c r="AA525" s="35">
        <f t="shared" si="822"/>
        <v>0</v>
      </c>
      <c r="AB525" s="22">
        <f t="shared" si="817"/>
        <v>12</v>
      </c>
      <c r="AC525" s="137">
        <f>ROUND(I525+mwreg!$G$61/100,3)</f>
        <v>-0.81699999999999995</v>
      </c>
      <c r="AD525" s="134">
        <f>ROUND(J525+mwreg!$G$61/100,3)</f>
        <v>1.4219999999999999</v>
      </c>
      <c r="AE525" s="134">
        <f>ROUND(K525+mwreg!$G$61/100,3)</f>
        <v>0.17899999999999999</v>
      </c>
      <c r="AF525" s="100">
        <f t="shared" si="779"/>
        <v>0.21479999999999999</v>
      </c>
      <c r="AG525" s="100">
        <f t="shared" si="780"/>
        <v>4.2099999999999999E-2</v>
      </c>
      <c r="AH525" s="164">
        <f t="shared" si="764"/>
        <v>4.3299999999999998E-2</v>
      </c>
      <c r="AI525" s="135">
        <f t="shared" si="765"/>
        <v>180</v>
      </c>
      <c r="AJ525" s="135">
        <f t="shared" si="766"/>
        <v>60</v>
      </c>
      <c r="AK525" s="134">
        <f t="shared" si="767"/>
        <v>1E-3</v>
      </c>
      <c r="AL525" s="135">
        <f t="shared" si="768"/>
        <v>3</v>
      </c>
      <c r="AM525" s="135">
        <f t="shared" si="769"/>
        <v>1500</v>
      </c>
      <c r="AN525" s="134">
        <f t="shared" si="770"/>
        <v>0.1</v>
      </c>
      <c r="AO525" s="187">
        <f t="shared" si="777"/>
        <v>239043</v>
      </c>
    </row>
    <row r="526" spans="1:41" x14ac:dyDescent="0.2">
      <c r="A526" s="3" t="str">
        <f>stat_uppg!A52</f>
        <v>91/35136</v>
      </c>
      <c r="B526" s="3" t="str">
        <f>stat_uppg!B52</f>
        <v>FLINTEN 16 (SJÖV)</v>
      </c>
      <c r="C526" s="52">
        <v>35136</v>
      </c>
      <c r="D526" s="105">
        <v>55.561</v>
      </c>
      <c r="E526" s="105">
        <v>12.8095</v>
      </c>
      <c r="F526" s="20">
        <v>8195</v>
      </c>
      <c r="G526" s="18">
        <v>0</v>
      </c>
      <c r="H526" s="53">
        <v>1</v>
      </c>
      <c r="I526" s="121">
        <f t="shared" ref="I526:K526" si="823">ROUND(0.918*I514+0.082*I574,3)</f>
        <v>-1.0069999999999999</v>
      </c>
      <c r="J526" s="101">
        <f t="shared" si="823"/>
        <v>1.4410000000000001</v>
      </c>
      <c r="K526" s="101">
        <f t="shared" si="823"/>
        <v>9.1999999999999998E-2</v>
      </c>
      <c r="L526" s="102">
        <f>ROUND(0.918*L514+0.082*L574,4)</f>
        <v>0.23599999999999999</v>
      </c>
      <c r="M526" s="102">
        <f t="shared" ref="M526:N526" si="824">ROUND(0.918*M514+0.082*M574,4)</f>
        <v>2.1600000000000001E-2</v>
      </c>
      <c r="N526" s="102">
        <f t="shared" si="824"/>
        <v>2.3199999999999998E-2</v>
      </c>
      <c r="O526" s="21">
        <f>ROUND(0.918*O514+0.082*O574,0)</f>
        <v>180</v>
      </c>
      <c r="P526" s="21">
        <f>ROUND(0.918*P514+0.082*P574,0)</f>
        <v>60</v>
      </c>
      <c r="Q526" s="101">
        <f>ROUND(0.918*Q514+0.082*Q574,3)</f>
        <v>1E-3</v>
      </c>
      <c r="R526" s="21">
        <f>ROUND(0.918*R514+0.082*R574,0)</f>
        <v>3</v>
      </c>
      <c r="S526" s="21">
        <f>ROUND(0.918*S514+0.082*S574,0)</f>
        <v>1500</v>
      </c>
      <c r="T526" s="101">
        <f>ROUND(0.918*T514+0.082*T574,3)</f>
        <v>0.1</v>
      </c>
      <c r="U526" s="123" t="s">
        <v>282</v>
      </c>
      <c r="V526" s="21"/>
      <c r="W526" s="58">
        <f t="shared" si="818"/>
        <v>35136</v>
      </c>
      <c r="X526" s="102">
        <f t="shared" si="819"/>
        <v>55.561</v>
      </c>
      <c r="Y526" s="102">
        <f t="shared" si="820"/>
        <v>12.8095</v>
      </c>
      <c r="Z526" s="21">
        <f t="shared" si="821"/>
        <v>8195</v>
      </c>
      <c r="AA526" s="44">
        <f t="shared" si="822"/>
        <v>0</v>
      </c>
      <c r="AB526" s="21">
        <f t="shared" si="817"/>
        <v>1</v>
      </c>
      <c r="AC526" s="119">
        <f>ROUND(I526+mwreg!$G$62/100,3)</f>
        <v>-0.877</v>
      </c>
      <c r="AD526" s="108">
        <f>ROUND(J526+mwreg!$G$62/100,3)</f>
        <v>1.571</v>
      </c>
      <c r="AE526" s="108">
        <f>ROUND(K526+mwreg!$G$62/100,3)</f>
        <v>0.222</v>
      </c>
      <c r="AF526" s="102">
        <f t="shared" ref="AF526:AF589" si="825">L526</f>
        <v>0.23599999999999999</v>
      </c>
      <c r="AG526" s="102">
        <f t="shared" ref="AG526:AG589" si="826">M526</f>
        <v>2.1600000000000001E-2</v>
      </c>
      <c r="AH526" s="109">
        <f t="shared" ref="AH526:AH589" si="827">N526</f>
        <v>2.3199999999999998E-2</v>
      </c>
      <c r="AI526" s="110">
        <f t="shared" ref="AI526:AI589" si="828">O526</f>
        <v>180</v>
      </c>
      <c r="AJ526" s="110">
        <f t="shared" ref="AJ526:AJ589" si="829">P526</f>
        <v>60</v>
      </c>
      <c r="AK526" s="108">
        <f t="shared" ref="AK526:AK589" si="830">Q526</f>
        <v>1E-3</v>
      </c>
      <c r="AL526" s="110">
        <f t="shared" ref="AL526:AL589" si="831">R526</f>
        <v>3</v>
      </c>
      <c r="AM526" s="110">
        <f t="shared" ref="AM526:AM589" si="832">S526</f>
        <v>1500</v>
      </c>
      <c r="AN526" s="108">
        <f t="shared" ref="AN526:AN589" si="833">T526</f>
        <v>0.1</v>
      </c>
      <c r="AO526" s="186" t="str">
        <f t="shared" si="777"/>
        <v>NaN</v>
      </c>
    </row>
    <row r="527" spans="1:41" x14ac:dyDescent="0.2">
      <c r="A527" s="3" t="s">
        <v>296</v>
      </c>
      <c r="B527" s="3" t="s">
        <v>296</v>
      </c>
      <c r="C527" s="52">
        <v>35136</v>
      </c>
      <c r="D527" s="105">
        <v>55.561</v>
      </c>
      <c r="E527" s="105">
        <v>12.8095</v>
      </c>
      <c r="F527" s="20">
        <v>8195</v>
      </c>
      <c r="G527" s="18">
        <v>0</v>
      </c>
      <c r="H527" s="53">
        <v>2</v>
      </c>
      <c r="I527" s="121">
        <f t="shared" ref="I527:K527" si="834">ROUND(0.918*I515+0.082*I575,3)</f>
        <v>-0.93899999999999995</v>
      </c>
      <c r="J527" s="101">
        <f t="shared" si="834"/>
        <v>1.3149999999999999</v>
      </c>
      <c r="K527" s="101">
        <f t="shared" si="834"/>
        <v>3.5999999999999997E-2</v>
      </c>
      <c r="L527" s="102">
        <f t="shared" ref="L527:N527" si="835">ROUND(0.918*L515+0.082*L575,4)</f>
        <v>0.23480000000000001</v>
      </c>
      <c r="M527" s="102">
        <f t="shared" si="835"/>
        <v>4.9700000000000001E-2</v>
      </c>
      <c r="N527" s="102">
        <f t="shared" si="835"/>
        <v>5.11E-2</v>
      </c>
      <c r="O527" s="21">
        <f t="shared" ref="O527:P527" si="836">ROUND(0.918*O515+0.082*O575,0)</f>
        <v>180</v>
      </c>
      <c r="P527" s="21">
        <f t="shared" si="836"/>
        <v>60</v>
      </c>
      <c r="Q527" s="101">
        <f t="shared" ref="Q527:Q537" si="837">ROUND(0.918*Q515+0.082*Q575,3)</f>
        <v>1E-3</v>
      </c>
      <c r="R527" s="21">
        <f t="shared" ref="R527:S527" si="838">ROUND(0.918*R515+0.082*R575,0)</f>
        <v>3</v>
      </c>
      <c r="S527" s="21">
        <f t="shared" si="838"/>
        <v>1500</v>
      </c>
      <c r="T527" s="101">
        <f t="shared" ref="T527:T537" si="839">ROUND(0.918*T515+0.082*T575,3)</f>
        <v>0.1</v>
      </c>
      <c r="U527" s="123" t="s">
        <v>282</v>
      </c>
      <c r="V527" s="21"/>
      <c r="W527" s="58">
        <f t="shared" si="818"/>
        <v>35136</v>
      </c>
      <c r="X527" s="102">
        <f t="shared" si="819"/>
        <v>55.561</v>
      </c>
      <c r="Y527" s="102">
        <f t="shared" si="820"/>
        <v>12.8095</v>
      </c>
      <c r="Z527" s="21">
        <f t="shared" si="821"/>
        <v>8195</v>
      </c>
      <c r="AA527" s="44">
        <f t="shared" si="822"/>
        <v>0</v>
      </c>
      <c r="AB527" s="21">
        <f t="shared" si="817"/>
        <v>2</v>
      </c>
      <c r="AC527" s="119">
        <f>ROUND(I527+mwreg!$G$62/100,3)</f>
        <v>-0.80900000000000005</v>
      </c>
      <c r="AD527" s="108">
        <f>ROUND(J527+mwreg!$G$62/100,3)</f>
        <v>1.4450000000000001</v>
      </c>
      <c r="AE527" s="108">
        <f>ROUND(K527+mwreg!$G$62/100,3)</f>
        <v>0.16600000000000001</v>
      </c>
      <c r="AF527" s="102">
        <f t="shared" si="825"/>
        <v>0.23480000000000001</v>
      </c>
      <c r="AG527" s="102">
        <f t="shared" si="826"/>
        <v>4.9700000000000001E-2</v>
      </c>
      <c r="AH527" s="109">
        <f t="shared" si="827"/>
        <v>5.11E-2</v>
      </c>
      <c r="AI527" s="110">
        <f t="shared" si="828"/>
        <v>180</v>
      </c>
      <c r="AJ527" s="110">
        <f t="shared" si="829"/>
        <v>60</v>
      </c>
      <c r="AK527" s="108">
        <f t="shared" si="830"/>
        <v>1E-3</v>
      </c>
      <c r="AL527" s="110">
        <f t="shared" si="831"/>
        <v>3</v>
      </c>
      <c r="AM527" s="110">
        <f t="shared" si="832"/>
        <v>1500</v>
      </c>
      <c r="AN527" s="108">
        <f t="shared" si="833"/>
        <v>0.1</v>
      </c>
      <c r="AO527" s="186" t="str">
        <f t="shared" si="777"/>
        <v>NaN</v>
      </c>
    </row>
    <row r="528" spans="1:41" x14ac:dyDescent="0.2">
      <c r="A528" s="3" t="s">
        <v>296</v>
      </c>
      <c r="B528" s="3" t="s">
        <v>296</v>
      </c>
      <c r="C528" s="52">
        <v>35136</v>
      </c>
      <c r="D528" s="105">
        <v>55.561</v>
      </c>
      <c r="E528" s="105">
        <v>12.8095</v>
      </c>
      <c r="F528" s="20">
        <v>8195</v>
      </c>
      <c r="G528" s="18">
        <v>0</v>
      </c>
      <c r="H528" s="53">
        <v>3</v>
      </c>
      <c r="I528" s="121">
        <f t="shared" ref="I528:K528" si="840">ROUND(0.918*I516+0.082*I576,3)</f>
        <v>-0.996</v>
      </c>
      <c r="J528" s="101">
        <f t="shared" si="840"/>
        <v>1.095</v>
      </c>
      <c r="K528" s="101">
        <f t="shared" si="840"/>
        <v>3.0000000000000001E-3</v>
      </c>
      <c r="L528" s="102">
        <f t="shared" ref="L528:N528" si="841">ROUND(0.918*L516+0.082*L576,4)</f>
        <v>0.21759999999999999</v>
      </c>
      <c r="M528" s="102">
        <f t="shared" si="841"/>
        <v>1.89E-2</v>
      </c>
      <c r="N528" s="102">
        <f t="shared" si="841"/>
        <v>2.0199999999999999E-2</v>
      </c>
      <c r="O528" s="21">
        <f t="shared" ref="O528:P528" si="842">ROUND(0.918*O516+0.082*O576,0)</f>
        <v>180</v>
      </c>
      <c r="P528" s="21">
        <f t="shared" si="842"/>
        <v>60</v>
      </c>
      <c r="Q528" s="101">
        <f t="shared" si="837"/>
        <v>1E-3</v>
      </c>
      <c r="R528" s="21">
        <f t="shared" ref="R528:S528" si="843">ROUND(0.918*R516+0.082*R576,0)</f>
        <v>3</v>
      </c>
      <c r="S528" s="21">
        <f t="shared" si="843"/>
        <v>1500</v>
      </c>
      <c r="T528" s="101">
        <f t="shared" si="839"/>
        <v>0.1</v>
      </c>
      <c r="U528" s="123" t="s">
        <v>282</v>
      </c>
      <c r="V528" s="21"/>
      <c r="W528" s="58">
        <f t="shared" si="818"/>
        <v>35136</v>
      </c>
      <c r="X528" s="102">
        <f t="shared" si="819"/>
        <v>55.561</v>
      </c>
      <c r="Y528" s="102">
        <f t="shared" si="820"/>
        <v>12.8095</v>
      </c>
      <c r="Z528" s="21">
        <f t="shared" si="821"/>
        <v>8195</v>
      </c>
      <c r="AA528" s="44">
        <f t="shared" si="822"/>
        <v>0</v>
      </c>
      <c r="AB528" s="21">
        <f t="shared" si="817"/>
        <v>3</v>
      </c>
      <c r="AC528" s="119">
        <f>ROUND(I528+mwreg!$G$62/100,3)</f>
        <v>-0.86599999999999999</v>
      </c>
      <c r="AD528" s="108">
        <f>ROUND(J528+mwreg!$G$62/100,3)</f>
        <v>1.2250000000000001</v>
      </c>
      <c r="AE528" s="108">
        <f>ROUND(K528+mwreg!$G$62/100,3)</f>
        <v>0.13300000000000001</v>
      </c>
      <c r="AF528" s="102">
        <f t="shared" si="825"/>
        <v>0.21759999999999999</v>
      </c>
      <c r="AG528" s="102">
        <f t="shared" si="826"/>
        <v>1.89E-2</v>
      </c>
      <c r="AH528" s="109">
        <f t="shared" si="827"/>
        <v>2.0199999999999999E-2</v>
      </c>
      <c r="AI528" s="110">
        <f t="shared" si="828"/>
        <v>180</v>
      </c>
      <c r="AJ528" s="110">
        <f t="shared" si="829"/>
        <v>60</v>
      </c>
      <c r="AK528" s="108">
        <f t="shared" si="830"/>
        <v>1E-3</v>
      </c>
      <c r="AL528" s="110">
        <f t="shared" si="831"/>
        <v>3</v>
      </c>
      <c r="AM528" s="110">
        <f t="shared" si="832"/>
        <v>1500</v>
      </c>
      <c r="AN528" s="108">
        <f t="shared" si="833"/>
        <v>0.1</v>
      </c>
      <c r="AO528" s="186" t="str">
        <f t="shared" si="777"/>
        <v>NaN</v>
      </c>
    </row>
    <row r="529" spans="1:41" x14ac:dyDescent="0.2">
      <c r="A529" s="3" t="s">
        <v>296</v>
      </c>
      <c r="B529" s="3" t="s">
        <v>296</v>
      </c>
      <c r="C529" s="52">
        <v>35136</v>
      </c>
      <c r="D529" s="105">
        <v>55.561</v>
      </c>
      <c r="E529" s="105">
        <v>12.8095</v>
      </c>
      <c r="F529" s="20">
        <v>8195</v>
      </c>
      <c r="G529" s="18">
        <v>0</v>
      </c>
      <c r="H529" s="53">
        <v>4</v>
      </c>
      <c r="I529" s="121">
        <f t="shared" ref="I529:K529" si="844">ROUND(0.918*I517+0.082*I577,3)</f>
        <v>-0.67500000000000004</v>
      </c>
      <c r="J529" s="101">
        <f t="shared" si="844"/>
        <v>1.218</v>
      </c>
      <c r="K529" s="101">
        <f t="shared" si="844"/>
        <v>-0.04</v>
      </c>
      <c r="L529" s="102">
        <f t="shared" ref="L529:N529" si="845">ROUND(0.918*L517+0.082*L577,4)</f>
        <v>0.15140000000000001</v>
      </c>
      <c r="M529" s="102">
        <f t="shared" si="845"/>
        <v>3.1199999999999999E-2</v>
      </c>
      <c r="N529" s="102">
        <f t="shared" si="845"/>
        <v>3.2599999999999997E-2</v>
      </c>
      <c r="O529" s="21">
        <f t="shared" ref="O529:P529" si="846">ROUND(0.918*O517+0.082*O577,0)</f>
        <v>180</v>
      </c>
      <c r="P529" s="21">
        <f t="shared" si="846"/>
        <v>60</v>
      </c>
      <c r="Q529" s="101">
        <f t="shared" si="837"/>
        <v>1E-3</v>
      </c>
      <c r="R529" s="21">
        <f t="shared" ref="R529:S529" si="847">ROUND(0.918*R517+0.082*R577,0)</f>
        <v>3</v>
      </c>
      <c r="S529" s="21">
        <f t="shared" si="847"/>
        <v>1500</v>
      </c>
      <c r="T529" s="101">
        <f t="shared" si="839"/>
        <v>0.1</v>
      </c>
      <c r="U529" s="123" t="s">
        <v>282</v>
      </c>
      <c r="V529" s="21"/>
      <c r="W529" s="58">
        <f t="shared" si="818"/>
        <v>35136</v>
      </c>
      <c r="X529" s="102">
        <f t="shared" si="819"/>
        <v>55.561</v>
      </c>
      <c r="Y529" s="102">
        <f t="shared" si="820"/>
        <v>12.8095</v>
      </c>
      <c r="Z529" s="21">
        <f t="shared" si="821"/>
        <v>8195</v>
      </c>
      <c r="AA529" s="44">
        <f t="shared" si="822"/>
        <v>0</v>
      </c>
      <c r="AB529" s="21">
        <f t="shared" si="817"/>
        <v>4</v>
      </c>
      <c r="AC529" s="119">
        <f>ROUND(I529+mwreg!$G$62/100,3)</f>
        <v>-0.54500000000000004</v>
      </c>
      <c r="AD529" s="108">
        <f>ROUND(J529+mwreg!$G$62/100,3)</f>
        <v>1.3480000000000001</v>
      </c>
      <c r="AE529" s="108">
        <f>ROUND(K529+mwreg!$G$62/100,3)</f>
        <v>0.09</v>
      </c>
      <c r="AF529" s="102">
        <f t="shared" si="825"/>
        <v>0.15140000000000001</v>
      </c>
      <c r="AG529" s="102">
        <f t="shared" si="826"/>
        <v>3.1199999999999999E-2</v>
      </c>
      <c r="AH529" s="109">
        <f t="shared" si="827"/>
        <v>3.2599999999999997E-2</v>
      </c>
      <c r="AI529" s="110">
        <f t="shared" si="828"/>
        <v>180</v>
      </c>
      <c r="AJ529" s="110">
        <f t="shared" si="829"/>
        <v>60</v>
      </c>
      <c r="AK529" s="108">
        <f t="shared" si="830"/>
        <v>1E-3</v>
      </c>
      <c r="AL529" s="110">
        <f t="shared" si="831"/>
        <v>3</v>
      </c>
      <c r="AM529" s="110">
        <f t="shared" si="832"/>
        <v>1500</v>
      </c>
      <c r="AN529" s="108">
        <f t="shared" si="833"/>
        <v>0.1</v>
      </c>
      <c r="AO529" s="186" t="str">
        <f t="shared" si="777"/>
        <v>NaN</v>
      </c>
    </row>
    <row r="530" spans="1:41" x14ac:dyDescent="0.2">
      <c r="A530" s="3" t="s">
        <v>296</v>
      </c>
      <c r="B530" s="3" t="s">
        <v>296</v>
      </c>
      <c r="C530" s="52">
        <v>35136</v>
      </c>
      <c r="D530" s="105">
        <v>55.561</v>
      </c>
      <c r="E530" s="105">
        <v>12.8095</v>
      </c>
      <c r="F530" s="20">
        <v>8195</v>
      </c>
      <c r="G530" s="18">
        <v>0</v>
      </c>
      <c r="H530" s="53">
        <v>5</v>
      </c>
      <c r="I530" s="121">
        <f t="shared" ref="I530:K530" si="848">ROUND(0.918*I518+0.082*I578,3)</f>
        <v>-0.63100000000000001</v>
      </c>
      <c r="J530" s="101">
        <f t="shared" si="848"/>
        <v>0.58499999999999996</v>
      </c>
      <c r="K530" s="101">
        <f t="shared" si="848"/>
        <v>-3.2000000000000001E-2</v>
      </c>
      <c r="L530" s="102">
        <f t="shared" ref="L530:N530" si="849">ROUND(0.918*L518+0.082*L578,4)</f>
        <v>0.1237</v>
      </c>
      <c r="M530" s="102">
        <f t="shared" si="849"/>
        <v>2.53E-2</v>
      </c>
      <c r="N530" s="102">
        <f t="shared" si="849"/>
        <v>2.6499999999999999E-2</v>
      </c>
      <c r="O530" s="21">
        <f t="shared" ref="O530:P530" si="850">ROUND(0.918*O518+0.082*O578,0)</f>
        <v>180</v>
      </c>
      <c r="P530" s="21">
        <f t="shared" si="850"/>
        <v>60</v>
      </c>
      <c r="Q530" s="101">
        <f t="shared" si="837"/>
        <v>1E-3</v>
      </c>
      <c r="R530" s="21">
        <f t="shared" ref="R530:S530" si="851">ROUND(0.918*R518+0.082*R578,0)</f>
        <v>3</v>
      </c>
      <c r="S530" s="21">
        <f t="shared" si="851"/>
        <v>1500</v>
      </c>
      <c r="T530" s="101">
        <f t="shared" si="839"/>
        <v>0.1</v>
      </c>
      <c r="U530" s="123" t="s">
        <v>282</v>
      </c>
      <c r="V530" s="21"/>
      <c r="W530" s="58">
        <f t="shared" si="818"/>
        <v>35136</v>
      </c>
      <c r="X530" s="102">
        <f t="shared" si="819"/>
        <v>55.561</v>
      </c>
      <c r="Y530" s="102">
        <f t="shared" si="820"/>
        <v>12.8095</v>
      </c>
      <c r="Z530" s="21">
        <f t="shared" si="821"/>
        <v>8195</v>
      </c>
      <c r="AA530" s="44">
        <f t="shared" si="822"/>
        <v>0</v>
      </c>
      <c r="AB530" s="21">
        <f t="shared" si="817"/>
        <v>5</v>
      </c>
      <c r="AC530" s="119">
        <f>ROUND(I530+mwreg!$G$62/100,3)</f>
        <v>-0.501</v>
      </c>
      <c r="AD530" s="108">
        <f>ROUND(J530+mwreg!$G$62/100,3)</f>
        <v>0.71499999999999997</v>
      </c>
      <c r="AE530" s="108">
        <f>ROUND(K530+mwreg!$G$62/100,3)</f>
        <v>9.8000000000000004E-2</v>
      </c>
      <c r="AF530" s="102">
        <f t="shared" si="825"/>
        <v>0.1237</v>
      </c>
      <c r="AG530" s="102">
        <f t="shared" si="826"/>
        <v>2.53E-2</v>
      </c>
      <c r="AH530" s="109">
        <f t="shared" si="827"/>
        <v>2.6499999999999999E-2</v>
      </c>
      <c r="AI530" s="110">
        <f t="shared" si="828"/>
        <v>180</v>
      </c>
      <c r="AJ530" s="110">
        <f t="shared" si="829"/>
        <v>60</v>
      </c>
      <c r="AK530" s="108">
        <f t="shared" si="830"/>
        <v>1E-3</v>
      </c>
      <c r="AL530" s="110">
        <f t="shared" si="831"/>
        <v>3</v>
      </c>
      <c r="AM530" s="110">
        <f t="shared" si="832"/>
        <v>1500</v>
      </c>
      <c r="AN530" s="108">
        <f t="shared" si="833"/>
        <v>0.1</v>
      </c>
      <c r="AO530" s="186" t="str">
        <f t="shared" si="777"/>
        <v>NaN</v>
      </c>
    </row>
    <row r="531" spans="1:41" x14ac:dyDescent="0.2">
      <c r="A531" s="3" t="s">
        <v>296</v>
      </c>
      <c r="B531" s="3" t="s">
        <v>296</v>
      </c>
      <c r="C531" s="52">
        <v>35136</v>
      </c>
      <c r="D531" s="105">
        <v>55.561</v>
      </c>
      <c r="E531" s="105">
        <v>12.8095</v>
      </c>
      <c r="F531" s="20">
        <v>8195</v>
      </c>
      <c r="G531" s="18">
        <v>0</v>
      </c>
      <c r="H531" s="53">
        <v>6</v>
      </c>
      <c r="I531" s="121">
        <f t="shared" ref="I531:K531" si="852">ROUND(0.918*I519+0.082*I579,3)</f>
        <v>-0.48899999999999999</v>
      </c>
      <c r="J531" s="101">
        <f t="shared" si="852"/>
        <v>0.65100000000000002</v>
      </c>
      <c r="K531" s="101">
        <f t="shared" si="852"/>
        <v>-2E-3</v>
      </c>
      <c r="L531" s="102">
        <f t="shared" ref="L531:N531" si="853">ROUND(0.918*L519+0.082*L579,4)</f>
        <v>0.11550000000000001</v>
      </c>
      <c r="M531" s="102">
        <f t="shared" si="853"/>
        <v>5.3600000000000002E-2</v>
      </c>
      <c r="N531" s="102">
        <f t="shared" si="853"/>
        <v>5.4899999999999997E-2</v>
      </c>
      <c r="O531" s="21">
        <f t="shared" ref="O531:P531" si="854">ROUND(0.918*O519+0.082*O579,0)</f>
        <v>180</v>
      </c>
      <c r="P531" s="21">
        <f t="shared" si="854"/>
        <v>60</v>
      </c>
      <c r="Q531" s="101">
        <f t="shared" si="837"/>
        <v>1E-3</v>
      </c>
      <c r="R531" s="21">
        <f t="shared" ref="R531:S531" si="855">ROUND(0.918*R519+0.082*R579,0)</f>
        <v>3</v>
      </c>
      <c r="S531" s="21">
        <f t="shared" si="855"/>
        <v>1500</v>
      </c>
      <c r="T531" s="101">
        <f t="shared" si="839"/>
        <v>0.1</v>
      </c>
      <c r="U531" s="123" t="s">
        <v>282</v>
      </c>
      <c r="V531" s="21"/>
      <c r="W531" s="58">
        <f t="shared" si="818"/>
        <v>35136</v>
      </c>
      <c r="X531" s="102">
        <f t="shared" si="819"/>
        <v>55.561</v>
      </c>
      <c r="Y531" s="102">
        <f t="shared" si="820"/>
        <v>12.8095</v>
      </c>
      <c r="Z531" s="21">
        <f t="shared" si="821"/>
        <v>8195</v>
      </c>
      <c r="AA531" s="44">
        <f t="shared" si="822"/>
        <v>0</v>
      </c>
      <c r="AB531" s="21">
        <f t="shared" si="817"/>
        <v>6</v>
      </c>
      <c r="AC531" s="119">
        <f>ROUND(I531+mwreg!$G$62/100,3)</f>
        <v>-0.35899999999999999</v>
      </c>
      <c r="AD531" s="108">
        <f>ROUND(J531+mwreg!$G$62/100,3)</f>
        <v>0.78100000000000003</v>
      </c>
      <c r="AE531" s="108">
        <f>ROUND(K531+mwreg!$G$62/100,3)</f>
        <v>0.128</v>
      </c>
      <c r="AF531" s="102">
        <f t="shared" si="825"/>
        <v>0.11550000000000001</v>
      </c>
      <c r="AG531" s="102">
        <f t="shared" si="826"/>
        <v>5.3600000000000002E-2</v>
      </c>
      <c r="AH531" s="109">
        <f t="shared" si="827"/>
        <v>5.4899999999999997E-2</v>
      </c>
      <c r="AI531" s="110">
        <f t="shared" si="828"/>
        <v>180</v>
      </c>
      <c r="AJ531" s="110">
        <f t="shared" si="829"/>
        <v>60</v>
      </c>
      <c r="AK531" s="108">
        <f t="shared" si="830"/>
        <v>1E-3</v>
      </c>
      <c r="AL531" s="110">
        <f t="shared" si="831"/>
        <v>3</v>
      </c>
      <c r="AM531" s="110">
        <f t="shared" si="832"/>
        <v>1500</v>
      </c>
      <c r="AN531" s="108">
        <f t="shared" si="833"/>
        <v>0.1</v>
      </c>
      <c r="AO531" s="186" t="str">
        <f t="shared" si="777"/>
        <v>NaN</v>
      </c>
    </row>
    <row r="532" spans="1:41" x14ac:dyDescent="0.2">
      <c r="A532" s="3" t="s">
        <v>296</v>
      </c>
      <c r="B532" s="3" t="s">
        <v>296</v>
      </c>
      <c r="C532" s="52">
        <v>35136</v>
      </c>
      <c r="D532" s="105">
        <v>55.561</v>
      </c>
      <c r="E532" s="105">
        <v>12.8095</v>
      </c>
      <c r="F532" s="20">
        <v>8195</v>
      </c>
      <c r="G532" s="18">
        <v>0</v>
      </c>
      <c r="H532" s="53">
        <v>7</v>
      </c>
      <c r="I532" s="121">
        <f t="shared" ref="I532:K532" si="856">ROUND(0.918*I520+0.082*I580,3)</f>
        <v>-0.46300000000000002</v>
      </c>
      <c r="J532" s="101">
        <f t="shared" si="856"/>
        <v>0.77500000000000002</v>
      </c>
      <c r="K532" s="101">
        <f t="shared" si="856"/>
        <v>7.1999999999999995E-2</v>
      </c>
      <c r="L532" s="102">
        <f t="shared" ref="L532:N532" si="857">ROUND(0.918*L520+0.082*L580,4)</f>
        <v>0.11260000000000001</v>
      </c>
      <c r="M532" s="102">
        <f t="shared" si="857"/>
        <v>4.9399999999999999E-2</v>
      </c>
      <c r="N532" s="102">
        <f t="shared" si="857"/>
        <v>5.0700000000000002E-2</v>
      </c>
      <c r="O532" s="21">
        <f t="shared" ref="O532:P532" si="858">ROUND(0.918*O520+0.082*O580,0)</f>
        <v>180</v>
      </c>
      <c r="P532" s="21">
        <f t="shared" si="858"/>
        <v>60</v>
      </c>
      <c r="Q532" s="101">
        <f t="shared" si="837"/>
        <v>1E-3</v>
      </c>
      <c r="R532" s="21">
        <f t="shared" ref="R532:S532" si="859">ROUND(0.918*R520+0.082*R580,0)</f>
        <v>3</v>
      </c>
      <c r="S532" s="21">
        <f t="shared" si="859"/>
        <v>1500</v>
      </c>
      <c r="T532" s="101">
        <f t="shared" si="839"/>
        <v>0.1</v>
      </c>
      <c r="U532" s="123" t="s">
        <v>282</v>
      </c>
      <c r="V532" s="21"/>
      <c r="W532" s="58">
        <f t="shared" si="818"/>
        <v>35136</v>
      </c>
      <c r="X532" s="102">
        <f t="shared" si="819"/>
        <v>55.561</v>
      </c>
      <c r="Y532" s="102">
        <f t="shared" si="820"/>
        <v>12.8095</v>
      </c>
      <c r="Z532" s="21">
        <f t="shared" si="821"/>
        <v>8195</v>
      </c>
      <c r="AA532" s="44">
        <f t="shared" si="822"/>
        <v>0</v>
      </c>
      <c r="AB532" s="21">
        <f t="shared" si="817"/>
        <v>7</v>
      </c>
      <c r="AC532" s="119">
        <f>ROUND(I532+mwreg!$G$62/100,3)</f>
        <v>-0.33300000000000002</v>
      </c>
      <c r="AD532" s="108">
        <f>ROUND(J532+mwreg!$G$62/100,3)</f>
        <v>0.90500000000000003</v>
      </c>
      <c r="AE532" s="108">
        <f>ROUND(K532+mwreg!$G$62/100,3)</f>
        <v>0.20200000000000001</v>
      </c>
      <c r="AF532" s="102">
        <f t="shared" si="825"/>
        <v>0.11260000000000001</v>
      </c>
      <c r="AG532" s="102">
        <f t="shared" si="826"/>
        <v>4.9399999999999999E-2</v>
      </c>
      <c r="AH532" s="109">
        <f t="shared" si="827"/>
        <v>5.0700000000000002E-2</v>
      </c>
      <c r="AI532" s="110">
        <f t="shared" si="828"/>
        <v>180</v>
      </c>
      <c r="AJ532" s="110">
        <f t="shared" si="829"/>
        <v>60</v>
      </c>
      <c r="AK532" s="108">
        <f t="shared" si="830"/>
        <v>1E-3</v>
      </c>
      <c r="AL532" s="110">
        <f t="shared" si="831"/>
        <v>3</v>
      </c>
      <c r="AM532" s="110">
        <f t="shared" si="832"/>
        <v>1500</v>
      </c>
      <c r="AN532" s="108">
        <f t="shared" si="833"/>
        <v>0.1</v>
      </c>
      <c r="AO532" s="186" t="str">
        <f t="shared" si="777"/>
        <v>NaN</v>
      </c>
    </row>
    <row r="533" spans="1:41" x14ac:dyDescent="0.2">
      <c r="A533" s="3" t="s">
        <v>296</v>
      </c>
      <c r="B533" s="3" t="s">
        <v>296</v>
      </c>
      <c r="C533" s="52">
        <v>35136</v>
      </c>
      <c r="D533" s="105">
        <v>55.561</v>
      </c>
      <c r="E533" s="105">
        <v>12.8095</v>
      </c>
      <c r="F533" s="20">
        <v>8195</v>
      </c>
      <c r="G533" s="18">
        <v>0</v>
      </c>
      <c r="H533" s="53">
        <v>8</v>
      </c>
      <c r="I533" s="121">
        <f t="shared" ref="I533:K533" si="860">ROUND(0.918*I521+0.082*I581,3)</f>
        <v>-0.52400000000000002</v>
      </c>
      <c r="J533" s="101">
        <f t="shared" si="860"/>
        <v>0.65500000000000003</v>
      </c>
      <c r="K533" s="101">
        <f t="shared" si="860"/>
        <v>0.05</v>
      </c>
      <c r="L533" s="102">
        <f t="shared" ref="L533:N533" si="861">ROUND(0.918*L521+0.082*L581,4)</f>
        <v>0.1152</v>
      </c>
      <c r="M533" s="102">
        <f t="shared" si="861"/>
        <v>5.7000000000000002E-2</v>
      </c>
      <c r="N533" s="102">
        <f t="shared" si="861"/>
        <v>5.8400000000000001E-2</v>
      </c>
      <c r="O533" s="21">
        <f t="shared" ref="O533:P533" si="862">ROUND(0.918*O521+0.082*O581,0)</f>
        <v>180</v>
      </c>
      <c r="P533" s="21">
        <f t="shared" si="862"/>
        <v>60</v>
      </c>
      <c r="Q533" s="101">
        <f t="shared" si="837"/>
        <v>1E-3</v>
      </c>
      <c r="R533" s="21">
        <f t="shared" ref="R533:S533" si="863">ROUND(0.918*R521+0.082*R581,0)</f>
        <v>3</v>
      </c>
      <c r="S533" s="21">
        <f t="shared" si="863"/>
        <v>1500</v>
      </c>
      <c r="T533" s="101">
        <f t="shared" si="839"/>
        <v>0.1</v>
      </c>
      <c r="U533" s="123" t="s">
        <v>282</v>
      </c>
      <c r="V533" s="21"/>
      <c r="W533" s="58">
        <f t="shared" si="818"/>
        <v>35136</v>
      </c>
      <c r="X533" s="102">
        <f t="shared" si="819"/>
        <v>55.561</v>
      </c>
      <c r="Y533" s="102">
        <f t="shared" si="820"/>
        <v>12.8095</v>
      </c>
      <c r="Z533" s="21">
        <f t="shared" si="821"/>
        <v>8195</v>
      </c>
      <c r="AA533" s="44">
        <f t="shared" si="822"/>
        <v>0</v>
      </c>
      <c r="AB533" s="21">
        <f t="shared" si="817"/>
        <v>8</v>
      </c>
      <c r="AC533" s="119">
        <f>ROUND(I533+mwreg!$G$62/100,3)</f>
        <v>-0.39400000000000002</v>
      </c>
      <c r="AD533" s="108">
        <f>ROUND(J533+mwreg!$G$62/100,3)</f>
        <v>0.78500000000000003</v>
      </c>
      <c r="AE533" s="108">
        <f>ROUND(K533+mwreg!$G$62/100,3)</f>
        <v>0.18</v>
      </c>
      <c r="AF533" s="102">
        <f t="shared" si="825"/>
        <v>0.1152</v>
      </c>
      <c r="AG533" s="102">
        <f t="shared" si="826"/>
        <v>5.7000000000000002E-2</v>
      </c>
      <c r="AH533" s="109">
        <f t="shared" si="827"/>
        <v>5.8400000000000001E-2</v>
      </c>
      <c r="AI533" s="110">
        <f t="shared" si="828"/>
        <v>180</v>
      </c>
      <c r="AJ533" s="110">
        <f t="shared" si="829"/>
        <v>60</v>
      </c>
      <c r="AK533" s="108">
        <f t="shared" si="830"/>
        <v>1E-3</v>
      </c>
      <c r="AL533" s="110">
        <f t="shared" si="831"/>
        <v>3</v>
      </c>
      <c r="AM533" s="110">
        <f t="shared" si="832"/>
        <v>1500</v>
      </c>
      <c r="AN533" s="108">
        <f t="shared" si="833"/>
        <v>0.1</v>
      </c>
      <c r="AO533" s="186" t="str">
        <f t="shared" si="777"/>
        <v>NaN</v>
      </c>
    </row>
    <row r="534" spans="1:41" x14ac:dyDescent="0.2">
      <c r="A534" s="3" t="s">
        <v>296</v>
      </c>
      <c r="B534" s="3" t="s">
        <v>296</v>
      </c>
      <c r="C534" s="52">
        <v>35136</v>
      </c>
      <c r="D534" s="105">
        <v>55.561</v>
      </c>
      <c r="E534" s="105">
        <v>12.8095</v>
      </c>
      <c r="F534" s="20">
        <v>8195</v>
      </c>
      <c r="G534" s="18">
        <v>0</v>
      </c>
      <c r="H534" s="53">
        <v>9</v>
      </c>
      <c r="I534" s="121">
        <f t="shared" ref="I534:K534" si="864">ROUND(0.918*I522+0.082*I582,3)</f>
        <v>-0.79700000000000004</v>
      </c>
      <c r="J534" s="101">
        <f t="shared" si="864"/>
        <v>1.0740000000000001</v>
      </c>
      <c r="K534" s="101">
        <f t="shared" si="864"/>
        <v>6.9000000000000006E-2</v>
      </c>
      <c r="L534" s="102">
        <f t="shared" ref="L534:N534" si="865">ROUND(0.918*L522+0.082*L582,4)</f>
        <v>0.15429999999999999</v>
      </c>
      <c r="M534" s="102">
        <f t="shared" si="865"/>
        <v>5.11E-2</v>
      </c>
      <c r="N534" s="102">
        <f t="shared" si="865"/>
        <v>5.2499999999999998E-2</v>
      </c>
      <c r="O534" s="21">
        <f t="shared" ref="O534:P534" si="866">ROUND(0.918*O522+0.082*O582,0)</f>
        <v>180</v>
      </c>
      <c r="P534" s="21">
        <f t="shared" si="866"/>
        <v>60</v>
      </c>
      <c r="Q534" s="101">
        <f t="shared" si="837"/>
        <v>1E-3</v>
      </c>
      <c r="R534" s="21">
        <f t="shared" ref="R534:S534" si="867">ROUND(0.918*R522+0.082*R582,0)</f>
        <v>3</v>
      </c>
      <c r="S534" s="21">
        <f t="shared" si="867"/>
        <v>1500</v>
      </c>
      <c r="T534" s="101">
        <f t="shared" si="839"/>
        <v>0.1</v>
      </c>
      <c r="U534" s="123" t="s">
        <v>282</v>
      </c>
      <c r="V534" s="21"/>
      <c r="W534" s="58">
        <f t="shared" si="818"/>
        <v>35136</v>
      </c>
      <c r="X534" s="102">
        <f t="shared" si="819"/>
        <v>55.561</v>
      </c>
      <c r="Y534" s="102">
        <f t="shared" si="820"/>
        <v>12.8095</v>
      </c>
      <c r="Z534" s="21">
        <f t="shared" si="821"/>
        <v>8195</v>
      </c>
      <c r="AA534" s="44">
        <f t="shared" si="822"/>
        <v>0</v>
      </c>
      <c r="AB534" s="21">
        <f t="shared" si="817"/>
        <v>9</v>
      </c>
      <c r="AC534" s="119">
        <f>ROUND(I534+mwreg!$G$62/100,3)</f>
        <v>-0.66700000000000004</v>
      </c>
      <c r="AD534" s="108">
        <f>ROUND(J534+mwreg!$G$62/100,3)</f>
        <v>1.204</v>
      </c>
      <c r="AE534" s="108">
        <f>ROUND(K534+mwreg!$G$62/100,3)</f>
        <v>0.19900000000000001</v>
      </c>
      <c r="AF534" s="102">
        <f t="shared" si="825"/>
        <v>0.15429999999999999</v>
      </c>
      <c r="AG534" s="102">
        <f t="shared" si="826"/>
        <v>5.11E-2</v>
      </c>
      <c r="AH534" s="109">
        <f t="shared" si="827"/>
        <v>5.2499999999999998E-2</v>
      </c>
      <c r="AI534" s="110">
        <f t="shared" si="828"/>
        <v>180</v>
      </c>
      <c r="AJ534" s="110">
        <f t="shared" si="829"/>
        <v>60</v>
      </c>
      <c r="AK534" s="108">
        <f t="shared" si="830"/>
        <v>1E-3</v>
      </c>
      <c r="AL534" s="110">
        <f t="shared" si="831"/>
        <v>3</v>
      </c>
      <c r="AM534" s="110">
        <f t="shared" si="832"/>
        <v>1500</v>
      </c>
      <c r="AN534" s="108">
        <f t="shared" si="833"/>
        <v>0.1</v>
      </c>
      <c r="AO534" s="186" t="str">
        <f t="shared" ref="AO534:AO597" si="868">U534</f>
        <v>NaN</v>
      </c>
    </row>
    <row r="535" spans="1:41" x14ac:dyDescent="0.2">
      <c r="A535" s="3" t="s">
        <v>296</v>
      </c>
      <c r="B535" s="3" t="s">
        <v>296</v>
      </c>
      <c r="C535" s="52">
        <v>35136</v>
      </c>
      <c r="D535" s="105">
        <v>55.561</v>
      </c>
      <c r="E535" s="105">
        <v>12.8095</v>
      </c>
      <c r="F535" s="20">
        <v>8195</v>
      </c>
      <c r="G535" s="18">
        <v>0</v>
      </c>
      <c r="H535" s="53">
        <v>10</v>
      </c>
      <c r="I535" s="121">
        <f t="shared" ref="I535:K535" si="869">ROUND(0.918*I523+0.082*I583,3)</f>
        <v>-0.95299999999999996</v>
      </c>
      <c r="J535" s="101">
        <f t="shared" si="869"/>
        <v>1.2310000000000001</v>
      </c>
      <c r="K535" s="101">
        <f t="shared" si="869"/>
        <v>7.9000000000000001E-2</v>
      </c>
      <c r="L535" s="102">
        <f t="shared" ref="L535:N535" si="870">ROUND(0.918*L523+0.082*L583,4)</f>
        <v>0.1888</v>
      </c>
      <c r="M535" s="102">
        <f t="shared" si="870"/>
        <v>2.7900000000000001E-2</v>
      </c>
      <c r="N535" s="102">
        <f t="shared" si="870"/>
        <v>2.9499999999999998E-2</v>
      </c>
      <c r="O535" s="21">
        <f t="shared" ref="O535:P535" si="871">ROUND(0.918*O523+0.082*O583,0)</f>
        <v>180</v>
      </c>
      <c r="P535" s="21">
        <f t="shared" si="871"/>
        <v>60</v>
      </c>
      <c r="Q535" s="101">
        <f t="shared" si="837"/>
        <v>1E-3</v>
      </c>
      <c r="R535" s="21">
        <f t="shared" ref="R535:S535" si="872">ROUND(0.918*R523+0.082*R583,0)</f>
        <v>3</v>
      </c>
      <c r="S535" s="21">
        <f t="shared" si="872"/>
        <v>1500</v>
      </c>
      <c r="T535" s="101">
        <f t="shared" si="839"/>
        <v>0.1</v>
      </c>
      <c r="U535" s="123" t="s">
        <v>282</v>
      </c>
      <c r="V535" s="21"/>
      <c r="W535" s="58">
        <f t="shared" si="818"/>
        <v>35136</v>
      </c>
      <c r="X535" s="102">
        <f t="shared" si="819"/>
        <v>55.561</v>
      </c>
      <c r="Y535" s="102">
        <f t="shared" si="820"/>
        <v>12.8095</v>
      </c>
      <c r="Z535" s="21">
        <f t="shared" si="821"/>
        <v>8195</v>
      </c>
      <c r="AA535" s="44">
        <f t="shared" si="822"/>
        <v>0</v>
      </c>
      <c r="AB535" s="21">
        <f t="shared" si="817"/>
        <v>10</v>
      </c>
      <c r="AC535" s="119">
        <f>ROUND(I535+mwreg!$G$62/100,3)</f>
        <v>-0.82299999999999995</v>
      </c>
      <c r="AD535" s="108">
        <f>ROUND(J535+mwreg!$G$62/100,3)</f>
        <v>1.361</v>
      </c>
      <c r="AE535" s="108">
        <f>ROUND(K535+mwreg!$G$62/100,3)</f>
        <v>0.20899999999999999</v>
      </c>
      <c r="AF535" s="102">
        <f t="shared" si="825"/>
        <v>0.1888</v>
      </c>
      <c r="AG535" s="102">
        <f t="shared" si="826"/>
        <v>2.7900000000000001E-2</v>
      </c>
      <c r="AH535" s="109">
        <f t="shared" si="827"/>
        <v>2.9499999999999998E-2</v>
      </c>
      <c r="AI535" s="110">
        <f t="shared" si="828"/>
        <v>180</v>
      </c>
      <c r="AJ535" s="110">
        <f t="shared" si="829"/>
        <v>60</v>
      </c>
      <c r="AK535" s="108">
        <f t="shared" si="830"/>
        <v>1E-3</v>
      </c>
      <c r="AL535" s="110">
        <f t="shared" si="831"/>
        <v>3</v>
      </c>
      <c r="AM535" s="110">
        <f t="shared" si="832"/>
        <v>1500</v>
      </c>
      <c r="AN535" s="108">
        <f t="shared" si="833"/>
        <v>0.1</v>
      </c>
      <c r="AO535" s="186" t="str">
        <f t="shared" si="868"/>
        <v>NaN</v>
      </c>
    </row>
    <row r="536" spans="1:41" x14ac:dyDescent="0.2">
      <c r="A536" s="3" t="s">
        <v>296</v>
      </c>
      <c r="B536" s="3" t="s">
        <v>296</v>
      </c>
      <c r="C536" s="52">
        <v>35136</v>
      </c>
      <c r="D536" s="105">
        <v>55.561</v>
      </c>
      <c r="E536" s="105">
        <v>12.8095</v>
      </c>
      <c r="F536" s="20">
        <v>8195</v>
      </c>
      <c r="G536" s="18">
        <v>0</v>
      </c>
      <c r="H536" s="53">
        <v>11</v>
      </c>
      <c r="I536" s="121">
        <f t="shared" ref="I536:K536" si="873">ROUND(0.918*I524+0.082*I584,3)</f>
        <v>-0.95299999999999996</v>
      </c>
      <c r="J536" s="101">
        <f t="shared" si="873"/>
        <v>1.3029999999999999</v>
      </c>
      <c r="K536" s="101">
        <f t="shared" si="873"/>
        <v>4.2999999999999997E-2</v>
      </c>
      <c r="L536" s="102">
        <f t="shared" ref="L536:N536" si="874">ROUND(0.918*L524+0.082*L584,4)</f>
        <v>0.2046</v>
      </c>
      <c r="M536" s="102">
        <f t="shared" si="874"/>
        <v>5.2999999999999999E-2</v>
      </c>
      <c r="N536" s="102">
        <f t="shared" si="874"/>
        <v>5.4699999999999999E-2</v>
      </c>
      <c r="O536" s="21">
        <f t="shared" ref="O536:P536" si="875">ROUND(0.918*O524+0.082*O584,0)</f>
        <v>180</v>
      </c>
      <c r="P536" s="21">
        <f t="shared" si="875"/>
        <v>60</v>
      </c>
      <c r="Q536" s="101">
        <f t="shared" si="837"/>
        <v>1E-3</v>
      </c>
      <c r="R536" s="21">
        <f t="shared" ref="R536:S536" si="876">ROUND(0.918*R524+0.082*R584,0)</f>
        <v>3</v>
      </c>
      <c r="S536" s="21">
        <f t="shared" si="876"/>
        <v>1500</v>
      </c>
      <c r="T536" s="101">
        <f t="shared" si="839"/>
        <v>0.1</v>
      </c>
      <c r="U536" s="123" t="s">
        <v>282</v>
      </c>
      <c r="V536" s="21"/>
      <c r="W536" s="58">
        <f t="shared" si="818"/>
        <v>35136</v>
      </c>
      <c r="X536" s="102">
        <f t="shared" si="819"/>
        <v>55.561</v>
      </c>
      <c r="Y536" s="102">
        <f t="shared" si="820"/>
        <v>12.8095</v>
      </c>
      <c r="Z536" s="21">
        <f t="shared" si="821"/>
        <v>8195</v>
      </c>
      <c r="AA536" s="44">
        <f t="shared" si="822"/>
        <v>0</v>
      </c>
      <c r="AB536" s="21">
        <f t="shared" si="817"/>
        <v>11</v>
      </c>
      <c r="AC536" s="119">
        <f>ROUND(I536+mwreg!$G$62/100,3)</f>
        <v>-0.82299999999999995</v>
      </c>
      <c r="AD536" s="108">
        <f>ROUND(J536+mwreg!$G$62/100,3)</f>
        <v>1.4330000000000001</v>
      </c>
      <c r="AE536" s="108">
        <f>ROUND(K536+mwreg!$G$62/100,3)</f>
        <v>0.17299999999999999</v>
      </c>
      <c r="AF536" s="102">
        <f t="shared" si="825"/>
        <v>0.2046</v>
      </c>
      <c r="AG536" s="102">
        <f t="shared" si="826"/>
        <v>5.2999999999999999E-2</v>
      </c>
      <c r="AH536" s="109">
        <f t="shared" si="827"/>
        <v>5.4699999999999999E-2</v>
      </c>
      <c r="AI536" s="110">
        <f t="shared" si="828"/>
        <v>180</v>
      </c>
      <c r="AJ536" s="110">
        <f t="shared" si="829"/>
        <v>60</v>
      </c>
      <c r="AK536" s="108">
        <f t="shared" si="830"/>
        <v>1E-3</v>
      </c>
      <c r="AL536" s="110">
        <f t="shared" si="831"/>
        <v>3</v>
      </c>
      <c r="AM536" s="110">
        <f t="shared" si="832"/>
        <v>1500</v>
      </c>
      <c r="AN536" s="108">
        <f t="shared" si="833"/>
        <v>0.1</v>
      </c>
      <c r="AO536" s="186" t="str">
        <f t="shared" si="868"/>
        <v>NaN</v>
      </c>
    </row>
    <row r="537" spans="1:41" x14ac:dyDescent="0.2">
      <c r="A537" s="3" t="s">
        <v>296</v>
      </c>
      <c r="B537" s="3" t="s">
        <v>296</v>
      </c>
      <c r="C537" s="52">
        <v>35136</v>
      </c>
      <c r="D537" s="105">
        <v>55.561</v>
      </c>
      <c r="E537" s="105">
        <v>12.8095</v>
      </c>
      <c r="F537" s="20">
        <v>8195</v>
      </c>
      <c r="G537" s="18">
        <v>0</v>
      </c>
      <c r="H537" s="53">
        <v>12</v>
      </c>
      <c r="I537" s="121">
        <f t="shared" ref="I537:K537" si="877">ROUND(0.918*I525+0.082*I585,3)</f>
        <v>-0.93899999999999995</v>
      </c>
      <c r="J537" s="101">
        <f t="shared" si="877"/>
        <v>1.3149999999999999</v>
      </c>
      <c r="K537" s="101">
        <f t="shared" si="877"/>
        <v>4.9000000000000002E-2</v>
      </c>
      <c r="L537" s="102">
        <f t="shared" ref="L537:N537" si="878">ROUND(0.918*L525+0.082*L585,4)</f>
        <v>0.21340000000000001</v>
      </c>
      <c r="M537" s="102">
        <f t="shared" si="878"/>
        <v>4.5199999999999997E-2</v>
      </c>
      <c r="N537" s="102">
        <f t="shared" si="878"/>
        <v>4.6800000000000001E-2</v>
      </c>
      <c r="O537" s="21">
        <f t="shared" ref="O537:P537" si="879">ROUND(0.918*O525+0.082*O585,0)</f>
        <v>180</v>
      </c>
      <c r="P537" s="21">
        <f t="shared" si="879"/>
        <v>60</v>
      </c>
      <c r="Q537" s="101">
        <f t="shared" si="837"/>
        <v>1E-3</v>
      </c>
      <c r="R537" s="21">
        <f t="shared" ref="R537:S537" si="880">ROUND(0.918*R525+0.082*R585,0)</f>
        <v>3</v>
      </c>
      <c r="S537" s="21">
        <f t="shared" si="880"/>
        <v>1500</v>
      </c>
      <c r="T537" s="101">
        <f t="shared" si="839"/>
        <v>0.1</v>
      </c>
      <c r="U537" s="123" t="s">
        <v>282</v>
      </c>
      <c r="V537" s="21"/>
      <c r="W537" s="58">
        <f t="shared" si="818"/>
        <v>35136</v>
      </c>
      <c r="X537" s="102">
        <f t="shared" si="819"/>
        <v>55.561</v>
      </c>
      <c r="Y537" s="102">
        <f t="shared" si="820"/>
        <v>12.8095</v>
      </c>
      <c r="Z537" s="21">
        <f t="shared" si="821"/>
        <v>8195</v>
      </c>
      <c r="AA537" s="44">
        <f t="shared" si="822"/>
        <v>0</v>
      </c>
      <c r="AB537" s="21">
        <f t="shared" si="817"/>
        <v>12</v>
      </c>
      <c r="AC537" s="119">
        <f>ROUND(I537+mwreg!$G$62/100,3)</f>
        <v>-0.80900000000000005</v>
      </c>
      <c r="AD537" s="108">
        <f>ROUND(J537+mwreg!$G$62/100,3)</f>
        <v>1.4450000000000001</v>
      </c>
      <c r="AE537" s="108">
        <f>ROUND(K537+mwreg!$G$62/100,3)</f>
        <v>0.17899999999999999</v>
      </c>
      <c r="AF537" s="102">
        <f t="shared" si="825"/>
        <v>0.21340000000000001</v>
      </c>
      <c r="AG537" s="102">
        <f t="shared" si="826"/>
        <v>4.5199999999999997E-2</v>
      </c>
      <c r="AH537" s="109">
        <f t="shared" si="827"/>
        <v>4.6800000000000001E-2</v>
      </c>
      <c r="AI537" s="110">
        <f t="shared" si="828"/>
        <v>180</v>
      </c>
      <c r="AJ537" s="110">
        <f t="shared" si="829"/>
        <v>60</v>
      </c>
      <c r="AK537" s="108">
        <f t="shared" si="830"/>
        <v>1E-3</v>
      </c>
      <c r="AL537" s="110">
        <f t="shared" si="831"/>
        <v>3</v>
      </c>
      <c r="AM537" s="110">
        <f t="shared" si="832"/>
        <v>1500</v>
      </c>
      <c r="AN537" s="108">
        <f t="shared" si="833"/>
        <v>0.1</v>
      </c>
      <c r="AO537" s="186" t="str">
        <f t="shared" si="868"/>
        <v>NaN</v>
      </c>
    </row>
    <row r="538" spans="1:41" x14ac:dyDescent="0.2">
      <c r="A538" s="3" t="str">
        <f>stat_uppg!A53</f>
        <v>86/35137</v>
      </c>
      <c r="B538" s="3" t="str">
        <f>stat_uppg!B53</f>
        <v>FLINTEN 7 (SJÖV)</v>
      </c>
      <c r="C538" s="52">
        <v>35137</v>
      </c>
      <c r="D538" s="105">
        <v>55.589399999999998</v>
      </c>
      <c r="E538" s="105">
        <v>12.8445</v>
      </c>
      <c r="F538" s="20">
        <v>8195</v>
      </c>
      <c r="G538" s="18">
        <v>0</v>
      </c>
      <c r="H538" s="53">
        <v>1</v>
      </c>
      <c r="I538" s="121">
        <f t="shared" ref="I538:K549" si="881">ROUND(0.764*I514+0.236*I574,3)</f>
        <v>-1</v>
      </c>
      <c r="J538" s="101">
        <f t="shared" si="881"/>
        <v>1.41</v>
      </c>
      <c r="K538" s="101">
        <f t="shared" si="881"/>
        <v>9.1999999999999998E-2</v>
      </c>
      <c r="L538" s="102">
        <f>ROUND(0.764*L514+0.236*L574,4)</f>
        <v>0.2366</v>
      </c>
      <c r="M538" s="102">
        <f>ROUND(0.764*M514+0.236*M574,4)</f>
        <v>3.3700000000000001E-2</v>
      </c>
      <c r="N538" s="102">
        <f>ROUND(0.764*N514+0.236*N574,4)</f>
        <v>3.61E-2</v>
      </c>
      <c r="O538" s="21">
        <f t="shared" ref="O538:P549" si="882">ROUND(0.764*O514+0.236*O574,0)</f>
        <v>180</v>
      </c>
      <c r="P538" s="21">
        <f t="shared" si="882"/>
        <v>60</v>
      </c>
      <c r="Q538" s="101">
        <f>ROUND(0.764*Q514+0.236*Q574,3)</f>
        <v>1E-3</v>
      </c>
      <c r="R538" s="21">
        <f t="shared" ref="R538:S549" si="883">ROUND(0.764*R514+0.236*R574,0)</f>
        <v>3</v>
      </c>
      <c r="S538" s="21">
        <f t="shared" si="883"/>
        <v>1500</v>
      </c>
      <c r="T538" s="101">
        <f>ROUND(0.764*T514+0.236*T574,3)</f>
        <v>0.1</v>
      </c>
      <c r="U538" s="123" t="s">
        <v>282</v>
      </c>
      <c r="V538" s="21"/>
      <c r="W538" s="58">
        <f t="shared" si="818"/>
        <v>35137</v>
      </c>
      <c r="X538" s="102">
        <f t="shared" si="819"/>
        <v>55.589399999999998</v>
      </c>
      <c r="Y538" s="102">
        <f t="shared" si="820"/>
        <v>12.8445</v>
      </c>
      <c r="Z538" s="21">
        <f t="shared" si="821"/>
        <v>8195</v>
      </c>
      <c r="AA538" s="44">
        <f t="shared" si="822"/>
        <v>0</v>
      </c>
      <c r="AB538" s="21">
        <f t="shared" si="817"/>
        <v>1</v>
      </c>
      <c r="AC538" s="119">
        <f>ROUND(I538+mwreg!$G$63/100,3)</f>
        <v>-0.871</v>
      </c>
      <c r="AD538" s="108">
        <f>ROUND(J538+mwreg!$G$63/100,3)</f>
        <v>1.5389999999999999</v>
      </c>
      <c r="AE538" s="108">
        <f>ROUND(K538+mwreg!$G$63/100,3)</f>
        <v>0.221</v>
      </c>
      <c r="AF538" s="102">
        <f t="shared" si="825"/>
        <v>0.2366</v>
      </c>
      <c r="AG538" s="102">
        <f t="shared" si="826"/>
        <v>3.3700000000000001E-2</v>
      </c>
      <c r="AH538" s="109">
        <f t="shared" si="827"/>
        <v>3.61E-2</v>
      </c>
      <c r="AI538" s="110">
        <f t="shared" si="828"/>
        <v>180</v>
      </c>
      <c r="AJ538" s="110">
        <f t="shared" si="829"/>
        <v>60</v>
      </c>
      <c r="AK538" s="108">
        <f t="shared" si="830"/>
        <v>1E-3</v>
      </c>
      <c r="AL538" s="110">
        <f t="shared" si="831"/>
        <v>3</v>
      </c>
      <c r="AM538" s="110">
        <f t="shared" si="832"/>
        <v>1500</v>
      </c>
      <c r="AN538" s="108">
        <f t="shared" si="833"/>
        <v>0.1</v>
      </c>
      <c r="AO538" s="186" t="str">
        <f t="shared" si="868"/>
        <v>NaN</v>
      </c>
    </row>
    <row r="539" spans="1:41" x14ac:dyDescent="0.2">
      <c r="A539" s="3" t="s">
        <v>296</v>
      </c>
      <c r="B539" s="3" t="s">
        <v>296</v>
      </c>
      <c r="C539" s="52">
        <v>35137</v>
      </c>
      <c r="D539" s="105">
        <v>55.589399999999998</v>
      </c>
      <c r="E539" s="105">
        <v>12.8445</v>
      </c>
      <c r="F539" s="20">
        <v>8195</v>
      </c>
      <c r="G539" s="18">
        <v>0</v>
      </c>
      <c r="H539" s="53">
        <v>2</v>
      </c>
      <c r="I539" s="121">
        <f t="shared" si="881"/>
        <v>-0.92300000000000004</v>
      </c>
      <c r="J539" s="101">
        <f t="shared" si="881"/>
        <v>1.266</v>
      </c>
      <c r="K539" s="101">
        <f t="shared" si="881"/>
        <v>3.5000000000000003E-2</v>
      </c>
      <c r="L539" s="102">
        <f t="shared" ref="L539:N549" si="884">ROUND(0.764*L515+0.236*L575,4)</f>
        <v>0.23380000000000001</v>
      </c>
      <c r="M539" s="102">
        <f t="shared" si="884"/>
        <v>5.4800000000000001E-2</v>
      </c>
      <c r="N539" s="102">
        <f t="shared" si="884"/>
        <v>5.7000000000000002E-2</v>
      </c>
      <c r="O539" s="21">
        <f t="shared" si="882"/>
        <v>180</v>
      </c>
      <c r="P539" s="21">
        <f t="shared" si="882"/>
        <v>60</v>
      </c>
      <c r="Q539" s="101">
        <f t="shared" ref="Q539:Q549" si="885">ROUND(0.764*Q515+0.236*Q575,3)</f>
        <v>1E-3</v>
      </c>
      <c r="R539" s="21">
        <f t="shared" si="883"/>
        <v>3</v>
      </c>
      <c r="S539" s="21">
        <f t="shared" si="883"/>
        <v>1500</v>
      </c>
      <c r="T539" s="101">
        <f t="shared" ref="T539:T549" si="886">ROUND(0.764*T515+0.236*T575,3)</f>
        <v>0.1</v>
      </c>
      <c r="U539" s="123" t="s">
        <v>282</v>
      </c>
      <c r="V539" s="21"/>
      <c r="W539" s="58">
        <f t="shared" si="818"/>
        <v>35137</v>
      </c>
      <c r="X539" s="102">
        <f t="shared" si="819"/>
        <v>55.589399999999998</v>
      </c>
      <c r="Y539" s="102">
        <f t="shared" si="820"/>
        <v>12.8445</v>
      </c>
      <c r="Z539" s="21">
        <f t="shared" si="821"/>
        <v>8195</v>
      </c>
      <c r="AA539" s="44">
        <f t="shared" si="822"/>
        <v>0</v>
      </c>
      <c r="AB539" s="21">
        <f t="shared" si="817"/>
        <v>2</v>
      </c>
      <c r="AC539" s="119">
        <f>ROUND(I539+mwreg!$G$63/100,3)</f>
        <v>-0.79400000000000004</v>
      </c>
      <c r="AD539" s="108">
        <f>ROUND(J539+mwreg!$G$63/100,3)</f>
        <v>1.395</v>
      </c>
      <c r="AE539" s="108">
        <f>ROUND(K539+mwreg!$G$63/100,3)</f>
        <v>0.16400000000000001</v>
      </c>
      <c r="AF539" s="102">
        <f t="shared" si="825"/>
        <v>0.23380000000000001</v>
      </c>
      <c r="AG539" s="102">
        <f t="shared" si="826"/>
        <v>5.4800000000000001E-2</v>
      </c>
      <c r="AH539" s="109">
        <f t="shared" si="827"/>
        <v>5.7000000000000002E-2</v>
      </c>
      <c r="AI539" s="110">
        <f t="shared" si="828"/>
        <v>180</v>
      </c>
      <c r="AJ539" s="110">
        <f t="shared" si="829"/>
        <v>60</v>
      </c>
      <c r="AK539" s="108">
        <f t="shared" si="830"/>
        <v>1E-3</v>
      </c>
      <c r="AL539" s="110">
        <f t="shared" si="831"/>
        <v>3</v>
      </c>
      <c r="AM539" s="110">
        <f t="shared" si="832"/>
        <v>1500</v>
      </c>
      <c r="AN539" s="108">
        <f t="shared" si="833"/>
        <v>0.1</v>
      </c>
      <c r="AO539" s="186" t="str">
        <f t="shared" si="868"/>
        <v>NaN</v>
      </c>
    </row>
    <row r="540" spans="1:41" x14ac:dyDescent="0.2">
      <c r="A540" s="3" t="s">
        <v>296</v>
      </c>
      <c r="B540" s="3" t="s">
        <v>296</v>
      </c>
      <c r="C540" s="52">
        <v>35137</v>
      </c>
      <c r="D540" s="105">
        <v>55.589399999999998</v>
      </c>
      <c r="E540" s="105">
        <v>12.8445</v>
      </c>
      <c r="F540" s="20">
        <v>8195</v>
      </c>
      <c r="G540" s="18">
        <v>0</v>
      </c>
      <c r="H540" s="53">
        <v>3</v>
      </c>
      <c r="I540" s="121">
        <f t="shared" si="881"/>
        <v>-0.96899999999999997</v>
      </c>
      <c r="J540" s="101">
        <f t="shared" si="881"/>
        <v>1.111</v>
      </c>
      <c r="K540" s="101">
        <f t="shared" si="881"/>
        <v>2E-3</v>
      </c>
      <c r="L540" s="102">
        <f t="shared" si="884"/>
        <v>0.21479999999999999</v>
      </c>
      <c r="M540" s="102">
        <f t="shared" si="884"/>
        <v>3.49E-2</v>
      </c>
      <c r="N540" s="102">
        <f t="shared" si="884"/>
        <v>3.7100000000000001E-2</v>
      </c>
      <c r="O540" s="21">
        <f t="shared" si="882"/>
        <v>180</v>
      </c>
      <c r="P540" s="21">
        <f t="shared" si="882"/>
        <v>60</v>
      </c>
      <c r="Q540" s="101">
        <f t="shared" si="885"/>
        <v>1E-3</v>
      </c>
      <c r="R540" s="21">
        <f t="shared" si="883"/>
        <v>3</v>
      </c>
      <c r="S540" s="21">
        <f t="shared" si="883"/>
        <v>1500</v>
      </c>
      <c r="T540" s="101">
        <f t="shared" si="886"/>
        <v>0.1</v>
      </c>
      <c r="U540" s="123" t="s">
        <v>282</v>
      </c>
      <c r="V540" s="21"/>
      <c r="W540" s="58">
        <f t="shared" si="818"/>
        <v>35137</v>
      </c>
      <c r="X540" s="102">
        <f t="shared" si="819"/>
        <v>55.589399999999998</v>
      </c>
      <c r="Y540" s="102">
        <f t="shared" si="820"/>
        <v>12.8445</v>
      </c>
      <c r="Z540" s="21">
        <f t="shared" si="821"/>
        <v>8195</v>
      </c>
      <c r="AA540" s="44">
        <f t="shared" si="822"/>
        <v>0</v>
      </c>
      <c r="AB540" s="21">
        <f t="shared" si="817"/>
        <v>3</v>
      </c>
      <c r="AC540" s="119">
        <f>ROUND(I540+mwreg!$G$63/100,3)</f>
        <v>-0.84</v>
      </c>
      <c r="AD540" s="108">
        <f>ROUND(J540+mwreg!$G$63/100,3)</f>
        <v>1.24</v>
      </c>
      <c r="AE540" s="108">
        <f>ROUND(K540+mwreg!$G$63/100,3)</f>
        <v>0.13100000000000001</v>
      </c>
      <c r="AF540" s="102">
        <f t="shared" si="825"/>
        <v>0.21479999999999999</v>
      </c>
      <c r="AG540" s="102">
        <f t="shared" si="826"/>
        <v>3.49E-2</v>
      </c>
      <c r="AH540" s="109">
        <f t="shared" si="827"/>
        <v>3.7100000000000001E-2</v>
      </c>
      <c r="AI540" s="110">
        <f t="shared" si="828"/>
        <v>180</v>
      </c>
      <c r="AJ540" s="110">
        <f t="shared" si="829"/>
        <v>60</v>
      </c>
      <c r="AK540" s="108">
        <f t="shared" si="830"/>
        <v>1E-3</v>
      </c>
      <c r="AL540" s="110">
        <f t="shared" si="831"/>
        <v>3</v>
      </c>
      <c r="AM540" s="110">
        <f t="shared" si="832"/>
        <v>1500</v>
      </c>
      <c r="AN540" s="108">
        <f t="shared" si="833"/>
        <v>0.1</v>
      </c>
      <c r="AO540" s="186" t="str">
        <f t="shared" si="868"/>
        <v>NaN</v>
      </c>
    </row>
    <row r="541" spans="1:41" x14ac:dyDescent="0.2">
      <c r="A541" s="3" t="s">
        <v>296</v>
      </c>
      <c r="B541" s="3" t="s">
        <v>296</v>
      </c>
      <c r="C541" s="52">
        <v>35137</v>
      </c>
      <c r="D541" s="105">
        <v>55.589399999999998</v>
      </c>
      <c r="E541" s="105">
        <v>12.8445</v>
      </c>
      <c r="F541" s="20">
        <v>8195</v>
      </c>
      <c r="G541" s="18">
        <v>0</v>
      </c>
      <c r="H541" s="53">
        <v>4</v>
      </c>
      <c r="I541" s="121">
        <f t="shared" si="881"/>
        <v>-0.65900000000000003</v>
      </c>
      <c r="J541" s="101">
        <f t="shared" si="881"/>
        <v>1.1719999999999999</v>
      </c>
      <c r="K541" s="101">
        <f t="shared" si="881"/>
        <v>-4.2999999999999997E-2</v>
      </c>
      <c r="L541" s="102">
        <f t="shared" si="884"/>
        <v>0.14929999999999999</v>
      </c>
      <c r="M541" s="102">
        <f t="shared" si="884"/>
        <v>5.5899999999999998E-2</v>
      </c>
      <c r="N541" s="102">
        <f t="shared" si="884"/>
        <v>5.8200000000000002E-2</v>
      </c>
      <c r="O541" s="21">
        <f t="shared" si="882"/>
        <v>180</v>
      </c>
      <c r="P541" s="21">
        <f t="shared" si="882"/>
        <v>60</v>
      </c>
      <c r="Q541" s="101">
        <f t="shared" si="885"/>
        <v>1E-3</v>
      </c>
      <c r="R541" s="21">
        <f t="shared" si="883"/>
        <v>3</v>
      </c>
      <c r="S541" s="21">
        <f t="shared" si="883"/>
        <v>1500</v>
      </c>
      <c r="T541" s="101">
        <f t="shared" si="886"/>
        <v>0.1</v>
      </c>
      <c r="U541" s="123" t="s">
        <v>282</v>
      </c>
      <c r="V541" s="21"/>
      <c r="W541" s="58">
        <f t="shared" si="818"/>
        <v>35137</v>
      </c>
      <c r="X541" s="102">
        <f t="shared" si="819"/>
        <v>55.589399999999998</v>
      </c>
      <c r="Y541" s="102">
        <f t="shared" si="820"/>
        <v>12.8445</v>
      </c>
      <c r="Z541" s="21">
        <f t="shared" si="821"/>
        <v>8195</v>
      </c>
      <c r="AA541" s="44">
        <f t="shared" si="822"/>
        <v>0</v>
      </c>
      <c r="AB541" s="21">
        <f t="shared" si="817"/>
        <v>4</v>
      </c>
      <c r="AC541" s="119">
        <f>ROUND(I541+mwreg!$G$63/100,3)</f>
        <v>-0.53</v>
      </c>
      <c r="AD541" s="108">
        <f>ROUND(J541+mwreg!$G$63/100,3)</f>
        <v>1.3009999999999999</v>
      </c>
      <c r="AE541" s="108">
        <f>ROUND(K541+mwreg!$G$63/100,3)</f>
        <v>8.5999999999999993E-2</v>
      </c>
      <c r="AF541" s="102">
        <f t="shared" si="825"/>
        <v>0.14929999999999999</v>
      </c>
      <c r="AG541" s="102">
        <f t="shared" si="826"/>
        <v>5.5899999999999998E-2</v>
      </c>
      <c r="AH541" s="109">
        <f t="shared" si="827"/>
        <v>5.8200000000000002E-2</v>
      </c>
      <c r="AI541" s="110">
        <f t="shared" si="828"/>
        <v>180</v>
      </c>
      <c r="AJ541" s="110">
        <f t="shared" si="829"/>
        <v>60</v>
      </c>
      <c r="AK541" s="108">
        <f t="shared" si="830"/>
        <v>1E-3</v>
      </c>
      <c r="AL541" s="110">
        <f t="shared" si="831"/>
        <v>3</v>
      </c>
      <c r="AM541" s="110">
        <f t="shared" si="832"/>
        <v>1500</v>
      </c>
      <c r="AN541" s="108">
        <f t="shared" si="833"/>
        <v>0.1</v>
      </c>
      <c r="AO541" s="186" t="str">
        <f t="shared" si="868"/>
        <v>NaN</v>
      </c>
    </row>
    <row r="542" spans="1:41" x14ac:dyDescent="0.2">
      <c r="A542" s="3" t="s">
        <v>296</v>
      </c>
      <c r="B542" s="3" t="s">
        <v>296</v>
      </c>
      <c r="C542" s="52">
        <v>35137</v>
      </c>
      <c r="D542" s="105">
        <v>55.589399999999998</v>
      </c>
      <c r="E542" s="105">
        <v>12.8445</v>
      </c>
      <c r="F542" s="20">
        <v>8195</v>
      </c>
      <c r="G542" s="18">
        <v>0</v>
      </c>
      <c r="H542" s="53">
        <v>5</v>
      </c>
      <c r="I542" s="121">
        <f t="shared" si="881"/>
        <v>-0.61299999999999999</v>
      </c>
      <c r="J542" s="101">
        <f t="shared" si="881"/>
        <v>0.57099999999999995</v>
      </c>
      <c r="K542" s="101">
        <f t="shared" si="881"/>
        <v>-3.2000000000000001E-2</v>
      </c>
      <c r="L542" s="102">
        <f t="shared" si="884"/>
        <v>0.122</v>
      </c>
      <c r="M542" s="102">
        <f t="shared" si="884"/>
        <v>4.9000000000000002E-2</v>
      </c>
      <c r="N542" s="102">
        <f t="shared" si="884"/>
        <v>5.11E-2</v>
      </c>
      <c r="O542" s="21">
        <f t="shared" si="882"/>
        <v>180</v>
      </c>
      <c r="P542" s="21">
        <f t="shared" si="882"/>
        <v>60</v>
      </c>
      <c r="Q542" s="101">
        <f t="shared" si="885"/>
        <v>1E-3</v>
      </c>
      <c r="R542" s="21">
        <f t="shared" si="883"/>
        <v>3</v>
      </c>
      <c r="S542" s="21">
        <f t="shared" si="883"/>
        <v>1500</v>
      </c>
      <c r="T542" s="101">
        <f t="shared" si="886"/>
        <v>0.1</v>
      </c>
      <c r="U542" s="123" t="s">
        <v>282</v>
      </c>
      <c r="V542" s="21"/>
      <c r="W542" s="58">
        <f t="shared" si="818"/>
        <v>35137</v>
      </c>
      <c r="X542" s="102">
        <f t="shared" si="819"/>
        <v>55.589399999999998</v>
      </c>
      <c r="Y542" s="102">
        <f t="shared" si="820"/>
        <v>12.8445</v>
      </c>
      <c r="Z542" s="21">
        <f t="shared" si="821"/>
        <v>8195</v>
      </c>
      <c r="AA542" s="44">
        <f t="shared" si="822"/>
        <v>0</v>
      </c>
      <c r="AB542" s="21">
        <f t="shared" si="817"/>
        <v>5</v>
      </c>
      <c r="AC542" s="119">
        <f>ROUND(I542+mwreg!$G$63/100,3)</f>
        <v>-0.48399999999999999</v>
      </c>
      <c r="AD542" s="108">
        <f>ROUND(J542+mwreg!$G$63/100,3)</f>
        <v>0.7</v>
      </c>
      <c r="AE542" s="108">
        <f>ROUND(K542+mwreg!$G$63/100,3)</f>
        <v>9.7000000000000003E-2</v>
      </c>
      <c r="AF542" s="102">
        <f t="shared" si="825"/>
        <v>0.122</v>
      </c>
      <c r="AG542" s="102">
        <f t="shared" si="826"/>
        <v>4.9000000000000002E-2</v>
      </c>
      <c r="AH542" s="109">
        <f t="shared" si="827"/>
        <v>5.11E-2</v>
      </c>
      <c r="AI542" s="110">
        <f t="shared" si="828"/>
        <v>180</v>
      </c>
      <c r="AJ542" s="110">
        <f t="shared" si="829"/>
        <v>60</v>
      </c>
      <c r="AK542" s="108">
        <f t="shared" si="830"/>
        <v>1E-3</v>
      </c>
      <c r="AL542" s="110">
        <f t="shared" si="831"/>
        <v>3</v>
      </c>
      <c r="AM542" s="110">
        <f t="shared" si="832"/>
        <v>1500</v>
      </c>
      <c r="AN542" s="108">
        <f t="shared" si="833"/>
        <v>0.1</v>
      </c>
      <c r="AO542" s="186" t="str">
        <f t="shared" si="868"/>
        <v>NaN</v>
      </c>
    </row>
    <row r="543" spans="1:41" x14ac:dyDescent="0.2">
      <c r="A543" s="3" t="s">
        <v>296</v>
      </c>
      <c r="B543" s="3" t="s">
        <v>296</v>
      </c>
      <c r="C543" s="52">
        <v>35137</v>
      </c>
      <c r="D543" s="105">
        <v>55.589399999999998</v>
      </c>
      <c r="E543" s="105">
        <v>12.8445</v>
      </c>
      <c r="F543" s="20">
        <v>8195</v>
      </c>
      <c r="G543" s="18">
        <v>0</v>
      </c>
      <c r="H543" s="53">
        <v>6</v>
      </c>
      <c r="I543" s="121">
        <f t="shared" si="881"/>
        <v>-0.47199999999999998</v>
      </c>
      <c r="J543" s="101">
        <f t="shared" si="881"/>
        <v>0.65200000000000002</v>
      </c>
      <c r="K543" s="101">
        <f t="shared" si="881"/>
        <v>-3.0000000000000001E-3</v>
      </c>
      <c r="L543" s="102">
        <f t="shared" si="884"/>
        <v>0.1132</v>
      </c>
      <c r="M543" s="102">
        <f t="shared" si="884"/>
        <v>7.1400000000000005E-2</v>
      </c>
      <c r="N543" s="102">
        <f t="shared" si="884"/>
        <v>7.3599999999999999E-2</v>
      </c>
      <c r="O543" s="21">
        <f t="shared" si="882"/>
        <v>180</v>
      </c>
      <c r="P543" s="21">
        <f t="shared" si="882"/>
        <v>60</v>
      </c>
      <c r="Q543" s="101">
        <f t="shared" si="885"/>
        <v>1E-3</v>
      </c>
      <c r="R543" s="21">
        <f t="shared" si="883"/>
        <v>3</v>
      </c>
      <c r="S543" s="21">
        <f t="shared" si="883"/>
        <v>1500</v>
      </c>
      <c r="T543" s="101">
        <f t="shared" si="886"/>
        <v>0.1</v>
      </c>
      <c r="U543" s="123" t="s">
        <v>282</v>
      </c>
      <c r="V543" s="21"/>
      <c r="W543" s="58">
        <f t="shared" si="818"/>
        <v>35137</v>
      </c>
      <c r="X543" s="102">
        <f t="shared" si="819"/>
        <v>55.589399999999998</v>
      </c>
      <c r="Y543" s="102">
        <f t="shared" si="820"/>
        <v>12.8445</v>
      </c>
      <c r="Z543" s="21">
        <f t="shared" si="821"/>
        <v>8195</v>
      </c>
      <c r="AA543" s="44">
        <f t="shared" si="822"/>
        <v>0</v>
      </c>
      <c r="AB543" s="21">
        <f t="shared" si="817"/>
        <v>6</v>
      </c>
      <c r="AC543" s="119">
        <f>ROUND(I543+mwreg!$G$63/100,3)</f>
        <v>-0.34300000000000003</v>
      </c>
      <c r="AD543" s="108">
        <f>ROUND(J543+mwreg!$G$63/100,3)</f>
        <v>0.78100000000000003</v>
      </c>
      <c r="AE543" s="108">
        <f>ROUND(K543+mwreg!$G$63/100,3)</f>
        <v>0.126</v>
      </c>
      <c r="AF543" s="102">
        <f t="shared" si="825"/>
        <v>0.1132</v>
      </c>
      <c r="AG543" s="102">
        <f t="shared" si="826"/>
        <v>7.1400000000000005E-2</v>
      </c>
      <c r="AH543" s="109">
        <f t="shared" si="827"/>
        <v>7.3599999999999999E-2</v>
      </c>
      <c r="AI543" s="110">
        <f t="shared" si="828"/>
        <v>180</v>
      </c>
      <c r="AJ543" s="110">
        <f t="shared" si="829"/>
        <v>60</v>
      </c>
      <c r="AK543" s="108">
        <f t="shared" si="830"/>
        <v>1E-3</v>
      </c>
      <c r="AL543" s="110">
        <f t="shared" si="831"/>
        <v>3</v>
      </c>
      <c r="AM543" s="110">
        <f t="shared" si="832"/>
        <v>1500</v>
      </c>
      <c r="AN543" s="108">
        <f t="shared" si="833"/>
        <v>0.1</v>
      </c>
      <c r="AO543" s="186" t="str">
        <f t="shared" si="868"/>
        <v>NaN</v>
      </c>
    </row>
    <row r="544" spans="1:41" x14ac:dyDescent="0.2">
      <c r="A544" s="3" t="s">
        <v>296</v>
      </c>
      <c r="B544" s="3" t="s">
        <v>296</v>
      </c>
      <c r="C544" s="52">
        <v>35137</v>
      </c>
      <c r="D544" s="105">
        <v>55.589399999999998</v>
      </c>
      <c r="E544" s="105">
        <v>12.8445</v>
      </c>
      <c r="F544" s="20">
        <v>8195</v>
      </c>
      <c r="G544" s="18">
        <v>0</v>
      </c>
      <c r="H544" s="53">
        <v>7</v>
      </c>
      <c r="I544" s="121">
        <f t="shared" si="881"/>
        <v>-0.438</v>
      </c>
      <c r="J544" s="101">
        <f t="shared" si="881"/>
        <v>0.746</v>
      </c>
      <c r="K544" s="101">
        <f t="shared" si="881"/>
        <v>7.2999999999999995E-2</v>
      </c>
      <c r="L544" s="102">
        <f t="shared" si="884"/>
        <v>0.11119999999999999</v>
      </c>
      <c r="M544" s="102">
        <f t="shared" si="884"/>
        <v>6.3100000000000003E-2</v>
      </c>
      <c r="N544" s="102">
        <f t="shared" si="884"/>
        <v>6.5199999999999994E-2</v>
      </c>
      <c r="O544" s="21">
        <f t="shared" si="882"/>
        <v>180</v>
      </c>
      <c r="P544" s="21">
        <f t="shared" si="882"/>
        <v>60</v>
      </c>
      <c r="Q544" s="101">
        <f t="shared" si="885"/>
        <v>1E-3</v>
      </c>
      <c r="R544" s="21">
        <f t="shared" si="883"/>
        <v>3</v>
      </c>
      <c r="S544" s="21">
        <f t="shared" si="883"/>
        <v>1500</v>
      </c>
      <c r="T544" s="101">
        <f t="shared" si="886"/>
        <v>0.1</v>
      </c>
      <c r="U544" s="123" t="s">
        <v>282</v>
      </c>
      <c r="V544" s="21"/>
      <c r="W544" s="58">
        <f t="shared" si="818"/>
        <v>35137</v>
      </c>
      <c r="X544" s="102">
        <f t="shared" si="819"/>
        <v>55.589399999999998</v>
      </c>
      <c r="Y544" s="102">
        <f t="shared" si="820"/>
        <v>12.8445</v>
      </c>
      <c r="Z544" s="21">
        <f t="shared" si="821"/>
        <v>8195</v>
      </c>
      <c r="AA544" s="44">
        <f t="shared" si="822"/>
        <v>0</v>
      </c>
      <c r="AB544" s="21">
        <f t="shared" si="817"/>
        <v>7</v>
      </c>
      <c r="AC544" s="119">
        <f>ROUND(I544+mwreg!$G$63/100,3)</f>
        <v>-0.309</v>
      </c>
      <c r="AD544" s="108">
        <f>ROUND(J544+mwreg!$G$63/100,3)</f>
        <v>0.875</v>
      </c>
      <c r="AE544" s="108">
        <f>ROUND(K544+mwreg!$G$63/100,3)</f>
        <v>0.20200000000000001</v>
      </c>
      <c r="AF544" s="102">
        <f t="shared" si="825"/>
        <v>0.11119999999999999</v>
      </c>
      <c r="AG544" s="102">
        <f t="shared" si="826"/>
        <v>6.3100000000000003E-2</v>
      </c>
      <c r="AH544" s="109">
        <f t="shared" si="827"/>
        <v>6.5199999999999994E-2</v>
      </c>
      <c r="AI544" s="110">
        <f t="shared" si="828"/>
        <v>180</v>
      </c>
      <c r="AJ544" s="110">
        <f t="shared" si="829"/>
        <v>60</v>
      </c>
      <c r="AK544" s="108">
        <f t="shared" si="830"/>
        <v>1E-3</v>
      </c>
      <c r="AL544" s="110">
        <f t="shared" si="831"/>
        <v>3</v>
      </c>
      <c r="AM544" s="110">
        <f t="shared" si="832"/>
        <v>1500</v>
      </c>
      <c r="AN544" s="108">
        <f t="shared" si="833"/>
        <v>0.1</v>
      </c>
      <c r="AO544" s="186" t="str">
        <f t="shared" si="868"/>
        <v>NaN</v>
      </c>
    </row>
    <row r="545" spans="1:41" x14ac:dyDescent="0.2">
      <c r="A545" s="3" t="s">
        <v>296</v>
      </c>
      <c r="B545" s="3" t="s">
        <v>296</v>
      </c>
      <c r="C545" s="52">
        <v>35137</v>
      </c>
      <c r="D545" s="105">
        <v>55.589399999999998</v>
      </c>
      <c r="E545" s="105">
        <v>12.8445</v>
      </c>
      <c r="F545" s="20">
        <v>8195</v>
      </c>
      <c r="G545" s="18">
        <v>0</v>
      </c>
      <c r="H545" s="53">
        <v>8</v>
      </c>
      <c r="I545" s="121">
        <f t="shared" si="881"/>
        <v>-0.503</v>
      </c>
      <c r="J545" s="101">
        <f t="shared" si="881"/>
        <v>0.68</v>
      </c>
      <c r="K545" s="101">
        <f t="shared" si="881"/>
        <v>4.9000000000000002E-2</v>
      </c>
      <c r="L545" s="102">
        <f t="shared" si="884"/>
        <v>0.1124</v>
      </c>
      <c r="M545" s="102">
        <f t="shared" si="884"/>
        <v>7.1999999999999995E-2</v>
      </c>
      <c r="N545" s="102">
        <f t="shared" si="884"/>
        <v>7.4099999999999999E-2</v>
      </c>
      <c r="O545" s="21">
        <f t="shared" si="882"/>
        <v>180</v>
      </c>
      <c r="P545" s="21">
        <f t="shared" si="882"/>
        <v>60</v>
      </c>
      <c r="Q545" s="101">
        <f t="shared" si="885"/>
        <v>1E-3</v>
      </c>
      <c r="R545" s="21">
        <f t="shared" si="883"/>
        <v>3</v>
      </c>
      <c r="S545" s="21">
        <f t="shared" si="883"/>
        <v>1500</v>
      </c>
      <c r="T545" s="101">
        <f t="shared" si="886"/>
        <v>0.1</v>
      </c>
      <c r="U545" s="123" t="s">
        <v>282</v>
      </c>
      <c r="V545" s="21"/>
      <c r="W545" s="58">
        <f t="shared" si="818"/>
        <v>35137</v>
      </c>
      <c r="X545" s="102">
        <f t="shared" si="819"/>
        <v>55.589399999999998</v>
      </c>
      <c r="Y545" s="102">
        <f t="shared" si="820"/>
        <v>12.8445</v>
      </c>
      <c r="Z545" s="21">
        <f t="shared" si="821"/>
        <v>8195</v>
      </c>
      <c r="AA545" s="44">
        <f t="shared" si="822"/>
        <v>0</v>
      </c>
      <c r="AB545" s="21">
        <f t="shared" si="817"/>
        <v>8</v>
      </c>
      <c r="AC545" s="119">
        <f>ROUND(I545+mwreg!$G$63/100,3)</f>
        <v>-0.374</v>
      </c>
      <c r="AD545" s="108">
        <f>ROUND(J545+mwreg!$G$63/100,3)</f>
        <v>0.80900000000000005</v>
      </c>
      <c r="AE545" s="108">
        <f>ROUND(K545+mwreg!$G$63/100,3)</f>
        <v>0.17799999999999999</v>
      </c>
      <c r="AF545" s="102">
        <f t="shared" si="825"/>
        <v>0.1124</v>
      </c>
      <c r="AG545" s="102">
        <f t="shared" si="826"/>
        <v>7.1999999999999995E-2</v>
      </c>
      <c r="AH545" s="109">
        <f t="shared" si="827"/>
        <v>7.4099999999999999E-2</v>
      </c>
      <c r="AI545" s="110">
        <f t="shared" si="828"/>
        <v>180</v>
      </c>
      <c r="AJ545" s="110">
        <f t="shared" si="829"/>
        <v>60</v>
      </c>
      <c r="AK545" s="108">
        <f t="shared" si="830"/>
        <v>1E-3</v>
      </c>
      <c r="AL545" s="110">
        <f t="shared" si="831"/>
        <v>3</v>
      </c>
      <c r="AM545" s="110">
        <f t="shared" si="832"/>
        <v>1500</v>
      </c>
      <c r="AN545" s="108">
        <f t="shared" si="833"/>
        <v>0.1</v>
      </c>
      <c r="AO545" s="186" t="str">
        <f t="shared" si="868"/>
        <v>NaN</v>
      </c>
    </row>
    <row r="546" spans="1:41" x14ac:dyDescent="0.2">
      <c r="A546" s="3" t="s">
        <v>296</v>
      </c>
      <c r="B546" s="3" t="s">
        <v>296</v>
      </c>
      <c r="C546" s="52">
        <v>35137</v>
      </c>
      <c r="D546" s="105">
        <v>55.589399999999998</v>
      </c>
      <c r="E546" s="105">
        <v>12.8445</v>
      </c>
      <c r="F546" s="20">
        <v>8195</v>
      </c>
      <c r="G546" s="18">
        <v>0</v>
      </c>
      <c r="H546" s="53">
        <v>9</v>
      </c>
      <c r="I546" s="121">
        <f t="shared" si="881"/>
        <v>-0.753</v>
      </c>
      <c r="J546" s="101">
        <f t="shared" si="881"/>
        <v>1.04</v>
      </c>
      <c r="K546" s="101">
        <f t="shared" si="881"/>
        <v>7.2999999999999995E-2</v>
      </c>
      <c r="L546" s="102">
        <f t="shared" si="884"/>
        <v>0.15240000000000001</v>
      </c>
      <c r="M546" s="102">
        <f t="shared" si="884"/>
        <v>5.5199999999999999E-2</v>
      </c>
      <c r="N546" s="102">
        <f t="shared" si="884"/>
        <v>5.7299999999999997E-2</v>
      </c>
      <c r="O546" s="21">
        <f t="shared" si="882"/>
        <v>180</v>
      </c>
      <c r="P546" s="21">
        <f t="shared" si="882"/>
        <v>60</v>
      </c>
      <c r="Q546" s="101">
        <f t="shared" si="885"/>
        <v>1E-3</v>
      </c>
      <c r="R546" s="21">
        <f t="shared" si="883"/>
        <v>3</v>
      </c>
      <c r="S546" s="21">
        <f t="shared" si="883"/>
        <v>1500</v>
      </c>
      <c r="T546" s="101">
        <f t="shared" si="886"/>
        <v>0.1</v>
      </c>
      <c r="U546" s="123" t="s">
        <v>282</v>
      </c>
      <c r="V546" s="21"/>
      <c r="W546" s="58">
        <f t="shared" si="818"/>
        <v>35137</v>
      </c>
      <c r="X546" s="102">
        <f t="shared" si="819"/>
        <v>55.589399999999998</v>
      </c>
      <c r="Y546" s="102">
        <f t="shared" si="820"/>
        <v>12.8445</v>
      </c>
      <c r="Z546" s="21">
        <f t="shared" si="821"/>
        <v>8195</v>
      </c>
      <c r="AA546" s="44">
        <f t="shared" si="822"/>
        <v>0</v>
      </c>
      <c r="AB546" s="21">
        <f t="shared" si="817"/>
        <v>9</v>
      </c>
      <c r="AC546" s="119">
        <f>ROUND(I546+mwreg!$G$63/100,3)</f>
        <v>-0.624</v>
      </c>
      <c r="AD546" s="108">
        <f>ROUND(J546+mwreg!$G$63/100,3)</f>
        <v>1.169</v>
      </c>
      <c r="AE546" s="108">
        <f>ROUND(K546+mwreg!$G$63/100,3)</f>
        <v>0.20200000000000001</v>
      </c>
      <c r="AF546" s="102">
        <f t="shared" si="825"/>
        <v>0.15240000000000001</v>
      </c>
      <c r="AG546" s="102">
        <f t="shared" si="826"/>
        <v>5.5199999999999999E-2</v>
      </c>
      <c r="AH546" s="109">
        <f t="shared" si="827"/>
        <v>5.7299999999999997E-2</v>
      </c>
      <c r="AI546" s="110">
        <f t="shared" si="828"/>
        <v>180</v>
      </c>
      <c r="AJ546" s="110">
        <f t="shared" si="829"/>
        <v>60</v>
      </c>
      <c r="AK546" s="108">
        <f t="shared" si="830"/>
        <v>1E-3</v>
      </c>
      <c r="AL546" s="110">
        <f t="shared" si="831"/>
        <v>3</v>
      </c>
      <c r="AM546" s="110">
        <f t="shared" si="832"/>
        <v>1500</v>
      </c>
      <c r="AN546" s="108">
        <f t="shared" si="833"/>
        <v>0.1</v>
      </c>
      <c r="AO546" s="186" t="str">
        <f t="shared" si="868"/>
        <v>NaN</v>
      </c>
    </row>
    <row r="547" spans="1:41" x14ac:dyDescent="0.2">
      <c r="A547" s="3" t="s">
        <v>296</v>
      </c>
      <c r="B547" s="3" t="s">
        <v>296</v>
      </c>
      <c r="C547" s="52">
        <v>35137</v>
      </c>
      <c r="D547" s="105">
        <v>55.589399999999998</v>
      </c>
      <c r="E547" s="105">
        <v>12.8445</v>
      </c>
      <c r="F547" s="20">
        <v>8195</v>
      </c>
      <c r="G547" s="18">
        <v>0</v>
      </c>
      <c r="H547" s="53">
        <v>10</v>
      </c>
      <c r="I547" s="121">
        <f t="shared" si="881"/>
        <v>-0.90500000000000003</v>
      </c>
      <c r="J547" s="101">
        <f t="shared" si="881"/>
        <v>1.1950000000000001</v>
      </c>
      <c r="K547" s="101">
        <f t="shared" si="881"/>
        <v>7.6999999999999999E-2</v>
      </c>
      <c r="L547" s="102">
        <f t="shared" si="884"/>
        <v>0.18440000000000001</v>
      </c>
      <c r="M547" s="102">
        <f t="shared" si="884"/>
        <v>4.1300000000000003E-2</v>
      </c>
      <c r="N547" s="102">
        <f t="shared" si="884"/>
        <v>4.3499999999999997E-2</v>
      </c>
      <c r="O547" s="21">
        <f t="shared" si="882"/>
        <v>180</v>
      </c>
      <c r="P547" s="21">
        <f t="shared" si="882"/>
        <v>60</v>
      </c>
      <c r="Q547" s="101">
        <f t="shared" si="885"/>
        <v>1E-3</v>
      </c>
      <c r="R547" s="21">
        <f t="shared" si="883"/>
        <v>3</v>
      </c>
      <c r="S547" s="21">
        <f t="shared" si="883"/>
        <v>1500</v>
      </c>
      <c r="T547" s="101">
        <f t="shared" si="886"/>
        <v>0.1</v>
      </c>
      <c r="U547" s="123" t="s">
        <v>282</v>
      </c>
      <c r="V547" s="21"/>
      <c r="W547" s="58">
        <f t="shared" si="818"/>
        <v>35137</v>
      </c>
      <c r="X547" s="102">
        <f t="shared" si="819"/>
        <v>55.589399999999998</v>
      </c>
      <c r="Y547" s="102">
        <f t="shared" si="820"/>
        <v>12.8445</v>
      </c>
      <c r="Z547" s="21">
        <f t="shared" si="821"/>
        <v>8195</v>
      </c>
      <c r="AA547" s="44">
        <f t="shared" si="822"/>
        <v>0</v>
      </c>
      <c r="AB547" s="21">
        <f t="shared" si="817"/>
        <v>10</v>
      </c>
      <c r="AC547" s="119">
        <f>ROUND(I547+mwreg!$G$63/100,3)</f>
        <v>-0.77600000000000002</v>
      </c>
      <c r="AD547" s="108">
        <f>ROUND(J547+mwreg!$G$63/100,3)</f>
        <v>1.3240000000000001</v>
      </c>
      <c r="AE547" s="108">
        <f>ROUND(K547+mwreg!$G$63/100,3)</f>
        <v>0.20599999999999999</v>
      </c>
      <c r="AF547" s="102">
        <f t="shared" si="825"/>
        <v>0.18440000000000001</v>
      </c>
      <c r="AG547" s="102">
        <f t="shared" si="826"/>
        <v>4.1300000000000003E-2</v>
      </c>
      <c r="AH547" s="109">
        <f t="shared" si="827"/>
        <v>4.3499999999999997E-2</v>
      </c>
      <c r="AI547" s="110">
        <f t="shared" si="828"/>
        <v>180</v>
      </c>
      <c r="AJ547" s="110">
        <f t="shared" si="829"/>
        <v>60</v>
      </c>
      <c r="AK547" s="108">
        <f t="shared" si="830"/>
        <v>1E-3</v>
      </c>
      <c r="AL547" s="110">
        <f t="shared" si="831"/>
        <v>3</v>
      </c>
      <c r="AM547" s="110">
        <f t="shared" si="832"/>
        <v>1500</v>
      </c>
      <c r="AN547" s="108">
        <f t="shared" si="833"/>
        <v>0.1</v>
      </c>
      <c r="AO547" s="186" t="str">
        <f t="shared" si="868"/>
        <v>NaN</v>
      </c>
    </row>
    <row r="548" spans="1:41" x14ac:dyDescent="0.2">
      <c r="A548" s="3" t="s">
        <v>296</v>
      </c>
      <c r="B548" s="3" t="s">
        <v>296</v>
      </c>
      <c r="C548" s="52">
        <v>35137</v>
      </c>
      <c r="D548" s="105">
        <v>55.589399999999998</v>
      </c>
      <c r="E548" s="105">
        <v>12.8445</v>
      </c>
      <c r="F548" s="20">
        <v>8195</v>
      </c>
      <c r="G548" s="18">
        <v>0</v>
      </c>
      <c r="H548" s="53">
        <v>11</v>
      </c>
      <c r="I548" s="121">
        <f t="shared" si="881"/>
        <v>-0.95599999999999996</v>
      </c>
      <c r="J548" s="101">
        <f t="shared" si="881"/>
        <v>1.3120000000000001</v>
      </c>
      <c r="K548" s="101">
        <f t="shared" si="881"/>
        <v>4.1000000000000002E-2</v>
      </c>
      <c r="L548" s="102">
        <f t="shared" si="884"/>
        <v>0.2031</v>
      </c>
      <c r="M548" s="102">
        <f t="shared" si="884"/>
        <v>5.4399999999999997E-2</v>
      </c>
      <c r="N548" s="102">
        <f t="shared" si="884"/>
        <v>5.6800000000000003E-2</v>
      </c>
      <c r="O548" s="21">
        <f t="shared" si="882"/>
        <v>180</v>
      </c>
      <c r="P548" s="21">
        <f t="shared" si="882"/>
        <v>60</v>
      </c>
      <c r="Q548" s="101">
        <f t="shared" si="885"/>
        <v>1E-3</v>
      </c>
      <c r="R548" s="21">
        <f t="shared" si="883"/>
        <v>3</v>
      </c>
      <c r="S548" s="21">
        <f t="shared" si="883"/>
        <v>1500</v>
      </c>
      <c r="T548" s="101">
        <f t="shared" si="886"/>
        <v>0.1</v>
      </c>
      <c r="U548" s="123" t="s">
        <v>282</v>
      </c>
      <c r="V548" s="21"/>
      <c r="W548" s="58">
        <f t="shared" si="818"/>
        <v>35137</v>
      </c>
      <c r="X548" s="102">
        <f t="shared" si="819"/>
        <v>55.589399999999998</v>
      </c>
      <c r="Y548" s="102">
        <f t="shared" si="820"/>
        <v>12.8445</v>
      </c>
      <c r="Z548" s="21">
        <f t="shared" si="821"/>
        <v>8195</v>
      </c>
      <c r="AA548" s="44">
        <f t="shared" si="822"/>
        <v>0</v>
      </c>
      <c r="AB548" s="21">
        <f t="shared" si="817"/>
        <v>11</v>
      </c>
      <c r="AC548" s="119">
        <f>ROUND(I548+mwreg!$G$63/100,3)</f>
        <v>-0.82699999999999996</v>
      </c>
      <c r="AD548" s="108">
        <f>ROUND(J548+mwreg!$G$63/100,3)</f>
        <v>1.4410000000000001</v>
      </c>
      <c r="AE548" s="108">
        <f>ROUND(K548+mwreg!$G$63/100,3)</f>
        <v>0.17</v>
      </c>
      <c r="AF548" s="102">
        <f t="shared" si="825"/>
        <v>0.2031</v>
      </c>
      <c r="AG548" s="102">
        <f t="shared" si="826"/>
        <v>5.4399999999999997E-2</v>
      </c>
      <c r="AH548" s="109">
        <f t="shared" si="827"/>
        <v>5.6800000000000003E-2</v>
      </c>
      <c r="AI548" s="110">
        <f t="shared" si="828"/>
        <v>180</v>
      </c>
      <c r="AJ548" s="110">
        <f t="shared" si="829"/>
        <v>60</v>
      </c>
      <c r="AK548" s="108">
        <f t="shared" si="830"/>
        <v>1E-3</v>
      </c>
      <c r="AL548" s="110">
        <f t="shared" si="831"/>
        <v>3</v>
      </c>
      <c r="AM548" s="110">
        <f t="shared" si="832"/>
        <v>1500</v>
      </c>
      <c r="AN548" s="108">
        <f t="shared" si="833"/>
        <v>0.1</v>
      </c>
      <c r="AO548" s="186" t="str">
        <f t="shared" si="868"/>
        <v>NaN</v>
      </c>
    </row>
    <row r="549" spans="1:41" x14ac:dyDescent="0.2">
      <c r="A549" s="3" t="s">
        <v>296</v>
      </c>
      <c r="B549" s="3" t="s">
        <v>296</v>
      </c>
      <c r="C549" s="52">
        <v>35137</v>
      </c>
      <c r="D549" s="105">
        <v>55.589399999999998</v>
      </c>
      <c r="E549" s="105">
        <v>12.8445</v>
      </c>
      <c r="F549" s="20">
        <v>8195</v>
      </c>
      <c r="G549" s="18">
        <v>0</v>
      </c>
      <c r="H549" s="53">
        <v>12</v>
      </c>
      <c r="I549" s="121">
        <f t="shared" si="881"/>
        <v>-0.92300000000000004</v>
      </c>
      <c r="J549" s="101">
        <f t="shared" si="881"/>
        <v>1.361</v>
      </c>
      <c r="K549" s="101">
        <f t="shared" si="881"/>
        <v>5.1999999999999998E-2</v>
      </c>
      <c r="L549" s="102">
        <f t="shared" si="884"/>
        <v>0.2107</v>
      </c>
      <c r="M549" s="102">
        <f t="shared" si="884"/>
        <v>5.11E-2</v>
      </c>
      <c r="N549" s="102">
        <f t="shared" si="884"/>
        <v>5.3400000000000003E-2</v>
      </c>
      <c r="O549" s="21">
        <f t="shared" si="882"/>
        <v>180</v>
      </c>
      <c r="P549" s="21">
        <f t="shared" si="882"/>
        <v>60</v>
      </c>
      <c r="Q549" s="101">
        <f t="shared" si="885"/>
        <v>1E-3</v>
      </c>
      <c r="R549" s="21">
        <f t="shared" si="883"/>
        <v>3</v>
      </c>
      <c r="S549" s="21">
        <f t="shared" si="883"/>
        <v>1500</v>
      </c>
      <c r="T549" s="101">
        <f t="shared" si="886"/>
        <v>0.1</v>
      </c>
      <c r="U549" s="123" t="s">
        <v>282</v>
      </c>
      <c r="V549" s="21"/>
      <c r="W549" s="58">
        <f t="shared" si="818"/>
        <v>35137</v>
      </c>
      <c r="X549" s="102">
        <f t="shared" si="819"/>
        <v>55.589399999999998</v>
      </c>
      <c r="Y549" s="102">
        <f t="shared" si="820"/>
        <v>12.8445</v>
      </c>
      <c r="Z549" s="21">
        <f t="shared" si="821"/>
        <v>8195</v>
      </c>
      <c r="AA549" s="44">
        <f t="shared" si="822"/>
        <v>0</v>
      </c>
      <c r="AB549" s="21">
        <f t="shared" si="817"/>
        <v>12</v>
      </c>
      <c r="AC549" s="119">
        <f>ROUND(I549+mwreg!$G$63/100,3)</f>
        <v>-0.79400000000000004</v>
      </c>
      <c r="AD549" s="108">
        <f>ROUND(J549+mwreg!$G$63/100,3)</f>
        <v>1.49</v>
      </c>
      <c r="AE549" s="108">
        <f>ROUND(K549+mwreg!$G$63/100,3)</f>
        <v>0.18099999999999999</v>
      </c>
      <c r="AF549" s="102">
        <f t="shared" si="825"/>
        <v>0.2107</v>
      </c>
      <c r="AG549" s="102">
        <f t="shared" si="826"/>
        <v>5.11E-2</v>
      </c>
      <c r="AH549" s="109">
        <f t="shared" si="827"/>
        <v>5.3400000000000003E-2</v>
      </c>
      <c r="AI549" s="110">
        <f t="shared" si="828"/>
        <v>180</v>
      </c>
      <c r="AJ549" s="110">
        <f t="shared" si="829"/>
        <v>60</v>
      </c>
      <c r="AK549" s="108">
        <f t="shared" si="830"/>
        <v>1E-3</v>
      </c>
      <c r="AL549" s="110">
        <f t="shared" si="831"/>
        <v>3</v>
      </c>
      <c r="AM549" s="110">
        <f t="shared" si="832"/>
        <v>1500</v>
      </c>
      <c r="AN549" s="108">
        <f t="shared" si="833"/>
        <v>0.1</v>
      </c>
      <c r="AO549" s="186" t="str">
        <f t="shared" si="868"/>
        <v>NaN</v>
      </c>
    </row>
    <row r="550" spans="1:41" x14ac:dyDescent="0.2">
      <c r="A550" s="3" t="str">
        <f>stat_uppg!A54</f>
        <v>68/35152</v>
      </c>
      <c r="B550" s="3" t="str">
        <f>stat_uppg!B54</f>
        <v>MALMÖ HAMN (SJÖV)</v>
      </c>
      <c r="C550" s="52">
        <v>35152</v>
      </c>
      <c r="D550" s="105">
        <v>55.625700000000002</v>
      </c>
      <c r="E550" s="105">
        <v>12.984500000000001</v>
      </c>
      <c r="F550" s="20">
        <v>8195</v>
      </c>
      <c r="G550" s="18">
        <v>0</v>
      </c>
      <c r="H550" s="53">
        <v>1</v>
      </c>
      <c r="I550" s="121">
        <f t="shared" ref="I550:K561" si="887">ROUND(0.473*I514+0.527*I574,3)</f>
        <v>-0.98699999999999999</v>
      </c>
      <c r="J550" s="101">
        <f t="shared" si="887"/>
        <v>1.351</v>
      </c>
      <c r="K550" s="101">
        <f t="shared" si="887"/>
        <v>9.0999999999999998E-2</v>
      </c>
      <c r="L550" s="102">
        <f>ROUND(0.473*L514+0.527*L574,4)</f>
        <v>0.23780000000000001</v>
      </c>
      <c r="M550" s="102">
        <f>ROUND(0.473*M514+0.527*M574,4)</f>
        <v>5.6599999999999998E-2</v>
      </c>
      <c r="N550" s="102">
        <f>ROUND(0.473*N514+0.527*N574,4)</f>
        <v>6.0400000000000002E-2</v>
      </c>
      <c r="O550" s="21">
        <f t="shared" ref="O550:P561" si="888">ROUND(0.473*O514+0.527*O574,0)</f>
        <v>180</v>
      </c>
      <c r="P550" s="21">
        <f t="shared" si="888"/>
        <v>60</v>
      </c>
      <c r="Q550" s="101">
        <f>ROUND(0.473*Q514+0.527*Q574,3)</f>
        <v>1E-3</v>
      </c>
      <c r="R550" s="21">
        <f t="shared" ref="R550:S561" si="889">ROUND(0.473*R514+0.527*R574,0)</f>
        <v>3</v>
      </c>
      <c r="S550" s="21">
        <f t="shared" si="889"/>
        <v>1500</v>
      </c>
      <c r="T550" s="101">
        <f>ROUND(0.473*T514+0.527*T574,3)</f>
        <v>0.1</v>
      </c>
      <c r="U550" s="123" t="s">
        <v>282</v>
      </c>
      <c r="V550" s="21"/>
      <c r="W550" s="58">
        <f t="shared" si="818"/>
        <v>35152</v>
      </c>
      <c r="X550" s="102">
        <f t="shared" si="819"/>
        <v>55.625700000000002</v>
      </c>
      <c r="Y550" s="102">
        <f t="shared" si="820"/>
        <v>12.984500000000001</v>
      </c>
      <c r="Z550" s="21">
        <f t="shared" si="821"/>
        <v>8195</v>
      </c>
      <c r="AA550" s="44">
        <f t="shared" si="822"/>
        <v>0</v>
      </c>
      <c r="AB550" s="21">
        <f t="shared" si="817"/>
        <v>1</v>
      </c>
      <c r="AC550" s="119">
        <f>ROUND(I550+mwreg!$G$64/100,3)</f>
        <v>-0.86</v>
      </c>
      <c r="AD550" s="108">
        <f>ROUND(J550+mwreg!$G$64/100,3)</f>
        <v>1.478</v>
      </c>
      <c r="AE550" s="108">
        <f>ROUND(K550+mwreg!$G$64/100,3)</f>
        <v>0.218</v>
      </c>
      <c r="AF550" s="102">
        <f t="shared" si="825"/>
        <v>0.23780000000000001</v>
      </c>
      <c r="AG550" s="102">
        <f t="shared" si="826"/>
        <v>5.6599999999999998E-2</v>
      </c>
      <c r="AH550" s="109">
        <f t="shared" si="827"/>
        <v>6.0400000000000002E-2</v>
      </c>
      <c r="AI550" s="110">
        <f t="shared" si="828"/>
        <v>180</v>
      </c>
      <c r="AJ550" s="110">
        <f t="shared" si="829"/>
        <v>60</v>
      </c>
      <c r="AK550" s="108">
        <f t="shared" si="830"/>
        <v>1E-3</v>
      </c>
      <c r="AL550" s="110">
        <f t="shared" si="831"/>
        <v>3</v>
      </c>
      <c r="AM550" s="110">
        <f t="shared" si="832"/>
        <v>1500</v>
      </c>
      <c r="AN550" s="108">
        <f t="shared" si="833"/>
        <v>0.1</v>
      </c>
      <c r="AO550" s="186" t="str">
        <f t="shared" si="868"/>
        <v>NaN</v>
      </c>
    </row>
    <row r="551" spans="1:41" x14ac:dyDescent="0.2">
      <c r="A551" s="3" t="s">
        <v>296</v>
      </c>
      <c r="B551" s="3" t="s">
        <v>296</v>
      </c>
      <c r="C551" s="52">
        <v>35152</v>
      </c>
      <c r="D551" s="105">
        <v>55.625700000000002</v>
      </c>
      <c r="E551" s="105">
        <v>12.984500000000001</v>
      </c>
      <c r="F551" s="20">
        <v>8195</v>
      </c>
      <c r="G551" s="18">
        <v>0</v>
      </c>
      <c r="H551" s="53">
        <v>2</v>
      </c>
      <c r="I551" s="121">
        <f t="shared" si="887"/>
        <v>-0.89400000000000002</v>
      </c>
      <c r="J551" s="101">
        <f t="shared" si="887"/>
        <v>1.173</v>
      </c>
      <c r="K551" s="101">
        <f t="shared" si="887"/>
        <v>3.3000000000000002E-2</v>
      </c>
      <c r="L551" s="102">
        <f t="shared" ref="L551:N561" si="890">ROUND(0.473*L515+0.527*L575,4)</f>
        <v>0.2319</v>
      </c>
      <c r="M551" s="102">
        <f t="shared" si="890"/>
        <v>6.4399999999999999E-2</v>
      </c>
      <c r="N551" s="102">
        <f t="shared" si="890"/>
        <v>6.8000000000000005E-2</v>
      </c>
      <c r="O551" s="21">
        <f t="shared" si="888"/>
        <v>180</v>
      </c>
      <c r="P551" s="21">
        <f t="shared" si="888"/>
        <v>60</v>
      </c>
      <c r="Q551" s="101">
        <f t="shared" ref="Q551:Q561" si="891">ROUND(0.473*Q515+0.527*Q575,3)</f>
        <v>1E-3</v>
      </c>
      <c r="R551" s="21">
        <f t="shared" si="889"/>
        <v>3</v>
      </c>
      <c r="S551" s="21">
        <f t="shared" si="889"/>
        <v>1500</v>
      </c>
      <c r="T551" s="101">
        <f t="shared" ref="T551:T561" si="892">ROUND(0.473*T515+0.527*T575,3)</f>
        <v>0.1</v>
      </c>
      <c r="U551" s="123" t="s">
        <v>282</v>
      </c>
      <c r="V551" s="21"/>
      <c r="W551" s="58">
        <f t="shared" si="818"/>
        <v>35152</v>
      </c>
      <c r="X551" s="102">
        <f t="shared" si="819"/>
        <v>55.625700000000002</v>
      </c>
      <c r="Y551" s="102">
        <f t="shared" si="820"/>
        <v>12.984500000000001</v>
      </c>
      <c r="Z551" s="21">
        <f t="shared" si="821"/>
        <v>8195</v>
      </c>
      <c r="AA551" s="44">
        <f t="shared" si="822"/>
        <v>0</v>
      </c>
      <c r="AB551" s="21">
        <f t="shared" si="817"/>
        <v>2</v>
      </c>
      <c r="AC551" s="119">
        <f>ROUND(I551+mwreg!$G$64/100,3)</f>
        <v>-0.76700000000000002</v>
      </c>
      <c r="AD551" s="108">
        <f>ROUND(J551+mwreg!$G$64/100,3)</f>
        <v>1.3</v>
      </c>
      <c r="AE551" s="108">
        <f>ROUND(K551+mwreg!$G$64/100,3)</f>
        <v>0.16</v>
      </c>
      <c r="AF551" s="102">
        <f t="shared" si="825"/>
        <v>0.2319</v>
      </c>
      <c r="AG551" s="102">
        <f t="shared" si="826"/>
        <v>6.4399999999999999E-2</v>
      </c>
      <c r="AH551" s="109">
        <f t="shared" si="827"/>
        <v>6.8000000000000005E-2</v>
      </c>
      <c r="AI551" s="110">
        <f t="shared" si="828"/>
        <v>180</v>
      </c>
      <c r="AJ551" s="110">
        <f t="shared" si="829"/>
        <v>60</v>
      </c>
      <c r="AK551" s="108">
        <f t="shared" si="830"/>
        <v>1E-3</v>
      </c>
      <c r="AL551" s="110">
        <f t="shared" si="831"/>
        <v>3</v>
      </c>
      <c r="AM551" s="110">
        <f t="shared" si="832"/>
        <v>1500</v>
      </c>
      <c r="AN551" s="108">
        <f t="shared" si="833"/>
        <v>0.1</v>
      </c>
      <c r="AO551" s="186" t="str">
        <f t="shared" si="868"/>
        <v>NaN</v>
      </c>
    </row>
    <row r="552" spans="1:41" x14ac:dyDescent="0.2">
      <c r="A552" s="3" t="s">
        <v>296</v>
      </c>
      <c r="B552" s="3" t="s">
        <v>296</v>
      </c>
      <c r="C552" s="52">
        <v>35152</v>
      </c>
      <c r="D552" s="105">
        <v>55.625700000000002</v>
      </c>
      <c r="E552" s="105">
        <v>12.984500000000001</v>
      </c>
      <c r="F552" s="20">
        <v>8195</v>
      </c>
      <c r="G552" s="18">
        <v>0</v>
      </c>
      <c r="H552" s="53">
        <v>3</v>
      </c>
      <c r="I552" s="121">
        <f t="shared" si="887"/>
        <v>-0.91800000000000004</v>
      </c>
      <c r="J552" s="101">
        <f t="shared" si="887"/>
        <v>1.1399999999999999</v>
      </c>
      <c r="K552" s="101">
        <f t="shared" si="887"/>
        <v>0</v>
      </c>
      <c r="L552" s="102">
        <f t="shared" si="890"/>
        <v>0.20949999999999999</v>
      </c>
      <c r="M552" s="102">
        <f t="shared" si="890"/>
        <v>6.5299999999999997E-2</v>
      </c>
      <c r="N552" s="102">
        <f t="shared" si="890"/>
        <v>6.9099999999999995E-2</v>
      </c>
      <c r="O552" s="21">
        <f t="shared" si="888"/>
        <v>180</v>
      </c>
      <c r="P552" s="21">
        <f t="shared" si="888"/>
        <v>60</v>
      </c>
      <c r="Q552" s="101">
        <f t="shared" si="891"/>
        <v>1E-3</v>
      </c>
      <c r="R552" s="21">
        <f t="shared" si="889"/>
        <v>3</v>
      </c>
      <c r="S552" s="21">
        <f t="shared" si="889"/>
        <v>1500</v>
      </c>
      <c r="T552" s="101">
        <f t="shared" si="892"/>
        <v>0.1</v>
      </c>
      <c r="U552" s="123" t="s">
        <v>282</v>
      </c>
      <c r="V552" s="21"/>
      <c r="W552" s="58">
        <f t="shared" si="818"/>
        <v>35152</v>
      </c>
      <c r="X552" s="102">
        <f t="shared" si="819"/>
        <v>55.625700000000002</v>
      </c>
      <c r="Y552" s="102">
        <f t="shared" si="820"/>
        <v>12.984500000000001</v>
      </c>
      <c r="Z552" s="21">
        <f t="shared" si="821"/>
        <v>8195</v>
      </c>
      <c r="AA552" s="44">
        <f t="shared" si="822"/>
        <v>0</v>
      </c>
      <c r="AB552" s="21">
        <f t="shared" si="817"/>
        <v>3</v>
      </c>
      <c r="AC552" s="119">
        <f>ROUND(I552+mwreg!$G$64/100,3)</f>
        <v>-0.79100000000000004</v>
      </c>
      <c r="AD552" s="108">
        <f>ROUND(J552+mwreg!$G$64/100,3)</f>
        <v>1.2669999999999999</v>
      </c>
      <c r="AE552" s="108">
        <f>ROUND(K552+mwreg!$G$64/100,3)</f>
        <v>0.127</v>
      </c>
      <c r="AF552" s="102">
        <f t="shared" si="825"/>
        <v>0.20949999999999999</v>
      </c>
      <c r="AG552" s="102">
        <f t="shared" si="826"/>
        <v>6.5299999999999997E-2</v>
      </c>
      <c r="AH552" s="109">
        <f t="shared" si="827"/>
        <v>6.9099999999999995E-2</v>
      </c>
      <c r="AI552" s="110">
        <f t="shared" si="828"/>
        <v>180</v>
      </c>
      <c r="AJ552" s="110">
        <f t="shared" si="829"/>
        <v>60</v>
      </c>
      <c r="AK552" s="108">
        <f t="shared" si="830"/>
        <v>1E-3</v>
      </c>
      <c r="AL552" s="110">
        <f t="shared" si="831"/>
        <v>3</v>
      </c>
      <c r="AM552" s="110">
        <f t="shared" si="832"/>
        <v>1500</v>
      </c>
      <c r="AN552" s="108">
        <f t="shared" si="833"/>
        <v>0.1</v>
      </c>
      <c r="AO552" s="186" t="str">
        <f t="shared" si="868"/>
        <v>NaN</v>
      </c>
    </row>
    <row r="553" spans="1:41" x14ac:dyDescent="0.2">
      <c r="A553" s="3" t="s">
        <v>296</v>
      </c>
      <c r="B553" s="3" t="s">
        <v>296</v>
      </c>
      <c r="C553" s="52">
        <v>35152</v>
      </c>
      <c r="D553" s="105">
        <v>55.625700000000002</v>
      </c>
      <c r="E553" s="105">
        <v>12.984500000000001</v>
      </c>
      <c r="F553" s="20">
        <v>8195</v>
      </c>
      <c r="G553" s="18">
        <v>0</v>
      </c>
      <c r="H553" s="53">
        <v>4</v>
      </c>
      <c r="I553" s="121">
        <f t="shared" si="887"/>
        <v>-0.629</v>
      </c>
      <c r="J553" s="101">
        <f t="shared" si="887"/>
        <v>1.085</v>
      </c>
      <c r="K553" s="101">
        <f t="shared" si="887"/>
        <v>-0.05</v>
      </c>
      <c r="L553" s="102">
        <f t="shared" si="890"/>
        <v>0.1454</v>
      </c>
      <c r="M553" s="102">
        <f t="shared" si="890"/>
        <v>0.10249999999999999</v>
      </c>
      <c r="N553" s="102">
        <f t="shared" si="890"/>
        <v>0.1065</v>
      </c>
      <c r="O553" s="21">
        <f t="shared" si="888"/>
        <v>180</v>
      </c>
      <c r="P553" s="21">
        <f t="shared" si="888"/>
        <v>60</v>
      </c>
      <c r="Q553" s="101">
        <f t="shared" si="891"/>
        <v>1E-3</v>
      </c>
      <c r="R553" s="21">
        <f t="shared" si="889"/>
        <v>3</v>
      </c>
      <c r="S553" s="21">
        <f t="shared" si="889"/>
        <v>1500</v>
      </c>
      <c r="T553" s="101">
        <f t="shared" si="892"/>
        <v>0.1</v>
      </c>
      <c r="U553" s="123" t="s">
        <v>282</v>
      </c>
      <c r="V553" s="21"/>
      <c r="W553" s="58">
        <f t="shared" si="818"/>
        <v>35152</v>
      </c>
      <c r="X553" s="102">
        <f t="shared" si="819"/>
        <v>55.625700000000002</v>
      </c>
      <c r="Y553" s="102">
        <f t="shared" si="820"/>
        <v>12.984500000000001</v>
      </c>
      <c r="Z553" s="21">
        <f t="shared" si="821"/>
        <v>8195</v>
      </c>
      <c r="AA553" s="44">
        <f t="shared" si="822"/>
        <v>0</v>
      </c>
      <c r="AB553" s="21">
        <f t="shared" si="817"/>
        <v>4</v>
      </c>
      <c r="AC553" s="119">
        <f>ROUND(I553+mwreg!$G$64/100,3)</f>
        <v>-0.502</v>
      </c>
      <c r="AD553" s="108">
        <f>ROUND(J553+mwreg!$G$64/100,3)</f>
        <v>1.212</v>
      </c>
      <c r="AE553" s="108">
        <f>ROUND(K553+mwreg!$G$64/100,3)</f>
        <v>7.6999999999999999E-2</v>
      </c>
      <c r="AF553" s="102">
        <f t="shared" si="825"/>
        <v>0.1454</v>
      </c>
      <c r="AG553" s="102">
        <f t="shared" si="826"/>
        <v>0.10249999999999999</v>
      </c>
      <c r="AH553" s="109">
        <f t="shared" si="827"/>
        <v>0.1065</v>
      </c>
      <c r="AI553" s="110">
        <f t="shared" si="828"/>
        <v>180</v>
      </c>
      <c r="AJ553" s="110">
        <f t="shared" si="829"/>
        <v>60</v>
      </c>
      <c r="AK553" s="108">
        <f t="shared" si="830"/>
        <v>1E-3</v>
      </c>
      <c r="AL553" s="110">
        <f t="shared" si="831"/>
        <v>3</v>
      </c>
      <c r="AM553" s="110">
        <f t="shared" si="832"/>
        <v>1500</v>
      </c>
      <c r="AN553" s="108">
        <f t="shared" si="833"/>
        <v>0.1</v>
      </c>
      <c r="AO553" s="186" t="str">
        <f t="shared" si="868"/>
        <v>NaN</v>
      </c>
    </row>
    <row r="554" spans="1:41" x14ac:dyDescent="0.2">
      <c r="A554" s="3" t="s">
        <v>296</v>
      </c>
      <c r="B554" s="3" t="s">
        <v>296</v>
      </c>
      <c r="C554" s="52">
        <v>35152</v>
      </c>
      <c r="D554" s="105">
        <v>55.625700000000002</v>
      </c>
      <c r="E554" s="105">
        <v>12.984500000000001</v>
      </c>
      <c r="F554" s="20">
        <v>8195</v>
      </c>
      <c r="G554" s="18">
        <v>0</v>
      </c>
      <c r="H554" s="53">
        <v>5</v>
      </c>
      <c r="I554" s="121">
        <f t="shared" si="887"/>
        <v>-0.57899999999999996</v>
      </c>
      <c r="J554" s="101">
        <f t="shared" si="887"/>
        <v>0.54500000000000004</v>
      </c>
      <c r="K554" s="101">
        <f t="shared" si="887"/>
        <v>-3.2000000000000001E-2</v>
      </c>
      <c r="L554" s="102">
        <f t="shared" si="890"/>
        <v>0.1188</v>
      </c>
      <c r="M554" s="102">
        <f t="shared" si="890"/>
        <v>9.3899999999999997E-2</v>
      </c>
      <c r="N554" s="102">
        <f t="shared" si="890"/>
        <v>9.7500000000000003E-2</v>
      </c>
      <c r="O554" s="21">
        <f t="shared" si="888"/>
        <v>180</v>
      </c>
      <c r="P554" s="21">
        <f t="shared" si="888"/>
        <v>60</v>
      </c>
      <c r="Q554" s="101">
        <f t="shared" si="891"/>
        <v>1E-3</v>
      </c>
      <c r="R554" s="21">
        <f t="shared" si="889"/>
        <v>3</v>
      </c>
      <c r="S554" s="21">
        <f t="shared" si="889"/>
        <v>1500</v>
      </c>
      <c r="T554" s="101">
        <f t="shared" si="892"/>
        <v>0.1</v>
      </c>
      <c r="U554" s="123" t="s">
        <v>282</v>
      </c>
      <c r="V554" s="21"/>
      <c r="W554" s="58">
        <f t="shared" si="818"/>
        <v>35152</v>
      </c>
      <c r="X554" s="102">
        <f t="shared" si="819"/>
        <v>55.625700000000002</v>
      </c>
      <c r="Y554" s="102">
        <f t="shared" si="820"/>
        <v>12.984500000000001</v>
      </c>
      <c r="Z554" s="21">
        <f t="shared" si="821"/>
        <v>8195</v>
      </c>
      <c r="AA554" s="44">
        <f t="shared" si="822"/>
        <v>0</v>
      </c>
      <c r="AB554" s="21">
        <f t="shared" si="817"/>
        <v>5</v>
      </c>
      <c r="AC554" s="119">
        <f>ROUND(I554+mwreg!$G$64/100,3)</f>
        <v>-0.45200000000000001</v>
      </c>
      <c r="AD554" s="108">
        <f>ROUND(J554+mwreg!$G$64/100,3)</f>
        <v>0.67200000000000004</v>
      </c>
      <c r="AE554" s="108">
        <f>ROUND(K554+mwreg!$G$64/100,3)</f>
        <v>9.5000000000000001E-2</v>
      </c>
      <c r="AF554" s="102">
        <f t="shared" si="825"/>
        <v>0.1188</v>
      </c>
      <c r="AG554" s="102">
        <f t="shared" si="826"/>
        <v>9.3899999999999997E-2</v>
      </c>
      <c r="AH554" s="109">
        <f t="shared" si="827"/>
        <v>9.7500000000000003E-2</v>
      </c>
      <c r="AI554" s="110">
        <f t="shared" si="828"/>
        <v>180</v>
      </c>
      <c r="AJ554" s="110">
        <f t="shared" si="829"/>
        <v>60</v>
      </c>
      <c r="AK554" s="108">
        <f t="shared" si="830"/>
        <v>1E-3</v>
      </c>
      <c r="AL554" s="110">
        <f t="shared" si="831"/>
        <v>3</v>
      </c>
      <c r="AM554" s="110">
        <f t="shared" si="832"/>
        <v>1500</v>
      </c>
      <c r="AN554" s="108">
        <f t="shared" si="833"/>
        <v>0.1</v>
      </c>
      <c r="AO554" s="186" t="str">
        <f t="shared" si="868"/>
        <v>NaN</v>
      </c>
    </row>
    <row r="555" spans="1:41" x14ac:dyDescent="0.2">
      <c r="A555" s="3" t="s">
        <v>296</v>
      </c>
      <c r="B555" s="3" t="s">
        <v>296</v>
      </c>
      <c r="C555" s="52">
        <v>35152</v>
      </c>
      <c r="D555" s="105">
        <v>55.625700000000002</v>
      </c>
      <c r="E555" s="105">
        <v>12.984500000000001</v>
      </c>
      <c r="F555" s="20">
        <v>8195</v>
      </c>
      <c r="G555" s="18">
        <v>0</v>
      </c>
      <c r="H555" s="53">
        <v>6</v>
      </c>
      <c r="I555" s="121">
        <f t="shared" si="887"/>
        <v>-0.439</v>
      </c>
      <c r="J555" s="101">
        <f t="shared" si="887"/>
        <v>0.65300000000000002</v>
      </c>
      <c r="K555" s="101">
        <f t="shared" si="887"/>
        <v>-5.0000000000000001E-3</v>
      </c>
      <c r="L555" s="102">
        <f t="shared" si="890"/>
        <v>0.109</v>
      </c>
      <c r="M555" s="102">
        <f t="shared" si="890"/>
        <v>0.1051</v>
      </c>
      <c r="N555" s="102">
        <f t="shared" si="890"/>
        <v>0.10879999999999999</v>
      </c>
      <c r="O555" s="21">
        <f t="shared" si="888"/>
        <v>180</v>
      </c>
      <c r="P555" s="21">
        <f t="shared" si="888"/>
        <v>60</v>
      </c>
      <c r="Q555" s="101">
        <f t="shared" si="891"/>
        <v>1E-3</v>
      </c>
      <c r="R555" s="21">
        <f t="shared" si="889"/>
        <v>3</v>
      </c>
      <c r="S555" s="21">
        <f t="shared" si="889"/>
        <v>1500</v>
      </c>
      <c r="T555" s="101">
        <f t="shared" si="892"/>
        <v>0.1</v>
      </c>
      <c r="U555" s="123" t="s">
        <v>282</v>
      </c>
      <c r="V555" s="21"/>
      <c r="W555" s="58">
        <f t="shared" si="818"/>
        <v>35152</v>
      </c>
      <c r="X555" s="102">
        <f t="shared" si="819"/>
        <v>55.625700000000002</v>
      </c>
      <c r="Y555" s="102">
        <f t="shared" si="820"/>
        <v>12.984500000000001</v>
      </c>
      <c r="Z555" s="21">
        <f t="shared" si="821"/>
        <v>8195</v>
      </c>
      <c r="AA555" s="44">
        <f t="shared" si="822"/>
        <v>0</v>
      </c>
      <c r="AB555" s="21">
        <f t="shared" si="817"/>
        <v>6</v>
      </c>
      <c r="AC555" s="119">
        <f>ROUND(I555+mwreg!$G$64/100,3)</f>
        <v>-0.312</v>
      </c>
      <c r="AD555" s="108">
        <f>ROUND(J555+mwreg!$G$64/100,3)</f>
        <v>0.78</v>
      </c>
      <c r="AE555" s="108">
        <f>ROUND(K555+mwreg!$G$64/100,3)</f>
        <v>0.122</v>
      </c>
      <c r="AF555" s="102">
        <f t="shared" si="825"/>
        <v>0.109</v>
      </c>
      <c r="AG555" s="102">
        <f t="shared" si="826"/>
        <v>0.1051</v>
      </c>
      <c r="AH555" s="109">
        <f t="shared" si="827"/>
        <v>0.10879999999999999</v>
      </c>
      <c r="AI555" s="110">
        <f t="shared" si="828"/>
        <v>180</v>
      </c>
      <c r="AJ555" s="110">
        <f t="shared" si="829"/>
        <v>60</v>
      </c>
      <c r="AK555" s="108">
        <f t="shared" si="830"/>
        <v>1E-3</v>
      </c>
      <c r="AL555" s="110">
        <f t="shared" si="831"/>
        <v>3</v>
      </c>
      <c r="AM555" s="110">
        <f t="shared" si="832"/>
        <v>1500</v>
      </c>
      <c r="AN555" s="108">
        <f t="shared" si="833"/>
        <v>0.1</v>
      </c>
      <c r="AO555" s="186" t="str">
        <f t="shared" si="868"/>
        <v>NaN</v>
      </c>
    </row>
    <row r="556" spans="1:41" x14ac:dyDescent="0.2">
      <c r="A556" s="3" t="s">
        <v>296</v>
      </c>
      <c r="B556" s="3" t="s">
        <v>296</v>
      </c>
      <c r="C556" s="52">
        <v>35152</v>
      </c>
      <c r="D556" s="105">
        <v>55.625700000000002</v>
      </c>
      <c r="E556" s="105">
        <v>12.984500000000001</v>
      </c>
      <c r="F556" s="20">
        <v>8195</v>
      </c>
      <c r="G556" s="18">
        <v>0</v>
      </c>
      <c r="H556" s="53">
        <v>7</v>
      </c>
      <c r="I556" s="121">
        <f t="shared" si="887"/>
        <v>-0.38900000000000001</v>
      </c>
      <c r="J556" s="101">
        <f t="shared" si="887"/>
        <v>0.69199999999999995</v>
      </c>
      <c r="K556" s="101">
        <f t="shared" si="887"/>
        <v>7.4999999999999997E-2</v>
      </c>
      <c r="L556" s="102">
        <f t="shared" si="890"/>
        <v>0.1086</v>
      </c>
      <c r="M556" s="102">
        <f t="shared" si="890"/>
        <v>8.9099999999999999E-2</v>
      </c>
      <c r="N556" s="102">
        <f t="shared" si="890"/>
        <v>9.2499999999999999E-2</v>
      </c>
      <c r="O556" s="21">
        <f t="shared" si="888"/>
        <v>180</v>
      </c>
      <c r="P556" s="21">
        <f t="shared" si="888"/>
        <v>60</v>
      </c>
      <c r="Q556" s="101">
        <f t="shared" si="891"/>
        <v>1E-3</v>
      </c>
      <c r="R556" s="21">
        <f t="shared" si="889"/>
        <v>3</v>
      </c>
      <c r="S556" s="21">
        <f t="shared" si="889"/>
        <v>1500</v>
      </c>
      <c r="T556" s="101">
        <f t="shared" si="892"/>
        <v>0.1</v>
      </c>
      <c r="U556" s="123" t="s">
        <v>282</v>
      </c>
      <c r="V556" s="21"/>
      <c r="W556" s="58">
        <f t="shared" si="818"/>
        <v>35152</v>
      </c>
      <c r="X556" s="102">
        <f t="shared" si="819"/>
        <v>55.625700000000002</v>
      </c>
      <c r="Y556" s="102">
        <f t="shared" si="820"/>
        <v>12.984500000000001</v>
      </c>
      <c r="Z556" s="21">
        <f t="shared" si="821"/>
        <v>8195</v>
      </c>
      <c r="AA556" s="44">
        <f t="shared" si="822"/>
        <v>0</v>
      </c>
      <c r="AB556" s="21">
        <f t="shared" si="817"/>
        <v>7</v>
      </c>
      <c r="AC556" s="119">
        <f>ROUND(I556+mwreg!$G$64/100,3)</f>
        <v>-0.26200000000000001</v>
      </c>
      <c r="AD556" s="108">
        <f>ROUND(J556+mwreg!$G$64/100,3)</f>
        <v>0.81899999999999995</v>
      </c>
      <c r="AE556" s="108">
        <f>ROUND(K556+mwreg!$G$64/100,3)</f>
        <v>0.20200000000000001</v>
      </c>
      <c r="AF556" s="102">
        <f t="shared" si="825"/>
        <v>0.1086</v>
      </c>
      <c r="AG556" s="102">
        <f t="shared" si="826"/>
        <v>8.9099999999999999E-2</v>
      </c>
      <c r="AH556" s="109">
        <f t="shared" si="827"/>
        <v>9.2499999999999999E-2</v>
      </c>
      <c r="AI556" s="110">
        <f t="shared" si="828"/>
        <v>180</v>
      </c>
      <c r="AJ556" s="110">
        <f t="shared" si="829"/>
        <v>60</v>
      </c>
      <c r="AK556" s="108">
        <f t="shared" si="830"/>
        <v>1E-3</v>
      </c>
      <c r="AL556" s="110">
        <f t="shared" si="831"/>
        <v>3</v>
      </c>
      <c r="AM556" s="110">
        <f t="shared" si="832"/>
        <v>1500</v>
      </c>
      <c r="AN556" s="108">
        <f t="shared" si="833"/>
        <v>0.1</v>
      </c>
      <c r="AO556" s="186" t="str">
        <f t="shared" si="868"/>
        <v>NaN</v>
      </c>
    </row>
    <row r="557" spans="1:41" x14ac:dyDescent="0.2">
      <c r="A557" s="3" t="s">
        <v>296</v>
      </c>
      <c r="B557" s="3" t="s">
        <v>296</v>
      </c>
      <c r="C557" s="52">
        <v>35152</v>
      </c>
      <c r="D557" s="105">
        <v>55.625700000000002</v>
      </c>
      <c r="E557" s="105">
        <v>12.984500000000001</v>
      </c>
      <c r="F557" s="20">
        <v>8195</v>
      </c>
      <c r="G557" s="18">
        <v>0</v>
      </c>
      <c r="H557" s="53">
        <v>8</v>
      </c>
      <c r="I557" s="121">
        <f t="shared" si="887"/>
        <v>-0.46200000000000002</v>
      </c>
      <c r="J557" s="101">
        <f t="shared" si="887"/>
        <v>0.72599999999999998</v>
      </c>
      <c r="K557" s="101">
        <f t="shared" si="887"/>
        <v>4.7E-2</v>
      </c>
      <c r="L557" s="102">
        <f t="shared" si="890"/>
        <v>0.107</v>
      </c>
      <c r="M557" s="102">
        <f t="shared" si="890"/>
        <v>0.1002</v>
      </c>
      <c r="N557" s="102">
        <f t="shared" si="890"/>
        <v>0.1038</v>
      </c>
      <c r="O557" s="21">
        <f t="shared" si="888"/>
        <v>180</v>
      </c>
      <c r="P557" s="21">
        <f t="shared" si="888"/>
        <v>60</v>
      </c>
      <c r="Q557" s="101">
        <f t="shared" si="891"/>
        <v>1E-3</v>
      </c>
      <c r="R557" s="21">
        <f t="shared" si="889"/>
        <v>3</v>
      </c>
      <c r="S557" s="21">
        <f t="shared" si="889"/>
        <v>1500</v>
      </c>
      <c r="T557" s="101">
        <f t="shared" si="892"/>
        <v>0.1</v>
      </c>
      <c r="U557" s="123" t="s">
        <v>282</v>
      </c>
      <c r="V557" s="21"/>
      <c r="W557" s="58">
        <f t="shared" si="818"/>
        <v>35152</v>
      </c>
      <c r="X557" s="102">
        <f t="shared" si="819"/>
        <v>55.625700000000002</v>
      </c>
      <c r="Y557" s="102">
        <f t="shared" si="820"/>
        <v>12.984500000000001</v>
      </c>
      <c r="Z557" s="21">
        <f t="shared" si="821"/>
        <v>8195</v>
      </c>
      <c r="AA557" s="44">
        <f t="shared" si="822"/>
        <v>0</v>
      </c>
      <c r="AB557" s="21">
        <f t="shared" si="817"/>
        <v>8</v>
      </c>
      <c r="AC557" s="119">
        <f>ROUND(I557+mwreg!$G$64/100,3)</f>
        <v>-0.33500000000000002</v>
      </c>
      <c r="AD557" s="108">
        <f>ROUND(J557+mwreg!$G$64/100,3)</f>
        <v>0.85299999999999998</v>
      </c>
      <c r="AE557" s="108">
        <f>ROUND(K557+mwreg!$G$64/100,3)</f>
        <v>0.17399999999999999</v>
      </c>
      <c r="AF557" s="102">
        <f t="shared" si="825"/>
        <v>0.107</v>
      </c>
      <c r="AG557" s="102">
        <f t="shared" si="826"/>
        <v>0.1002</v>
      </c>
      <c r="AH557" s="109">
        <f t="shared" si="827"/>
        <v>0.1038</v>
      </c>
      <c r="AI557" s="110">
        <f t="shared" si="828"/>
        <v>180</v>
      </c>
      <c r="AJ557" s="110">
        <f t="shared" si="829"/>
        <v>60</v>
      </c>
      <c r="AK557" s="108">
        <f t="shared" si="830"/>
        <v>1E-3</v>
      </c>
      <c r="AL557" s="110">
        <f t="shared" si="831"/>
        <v>3</v>
      </c>
      <c r="AM557" s="110">
        <f t="shared" si="832"/>
        <v>1500</v>
      </c>
      <c r="AN557" s="108">
        <f t="shared" si="833"/>
        <v>0.1</v>
      </c>
      <c r="AO557" s="186" t="str">
        <f t="shared" si="868"/>
        <v>NaN</v>
      </c>
    </row>
    <row r="558" spans="1:41" x14ac:dyDescent="0.2">
      <c r="A558" s="3" t="s">
        <v>296</v>
      </c>
      <c r="B558" s="3" t="s">
        <v>296</v>
      </c>
      <c r="C558" s="52">
        <v>35152</v>
      </c>
      <c r="D558" s="105">
        <v>55.625700000000002</v>
      </c>
      <c r="E558" s="105">
        <v>12.984500000000001</v>
      </c>
      <c r="F558" s="20">
        <v>8195</v>
      </c>
      <c r="G558" s="18">
        <v>0</v>
      </c>
      <c r="H558" s="53">
        <v>9</v>
      </c>
      <c r="I558" s="121">
        <f t="shared" si="887"/>
        <v>-0.67100000000000004</v>
      </c>
      <c r="J558" s="101">
        <f t="shared" si="887"/>
        <v>0.97499999999999998</v>
      </c>
      <c r="K558" s="101">
        <f t="shared" si="887"/>
        <v>0.08</v>
      </c>
      <c r="L558" s="102">
        <f t="shared" si="890"/>
        <v>0.1487</v>
      </c>
      <c r="M558" s="102">
        <f t="shared" si="890"/>
        <v>6.3E-2</v>
      </c>
      <c r="N558" s="102">
        <f t="shared" si="890"/>
        <v>6.6299999999999998E-2</v>
      </c>
      <c r="O558" s="21">
        <f t="shared" si="888"/>
        <v>180</v>
      </c>
      <c r="P558" s="21">
        <f t="shared" si="888"/>
        <v>60</v>
      </c>
      <c r="Q558" s="101">
        <f t="shared" si="891"/>
        <v>1E-3</v>
      </c>
      <c r="R558" s="21">
        <f t="shared" si="889"/>
        <v>3</v>
      </c>
      <c r="S558" s="21">
        <f t="shared" si="889"/>
        <v>1500</v>
      </c>
      <c r="T558" s="101">
        <f t="shared" si="892"/>
        <v>0.1</v>
      </c>
      <c r="U558" s="123" t="s">
        <v>282</v>
      </c>
      <c r="V558" s="21"/>
      <c r="W558" s="58">
        <f t="shared" si="818"/>
        <v>35152</v>
      </c>
      <c r="X558" s="102">
        <f t="shared" si="819"/>
        <v>55.625700000000002</v>
      </c>
      <c r="Y558" s="102">
        <f t="shared" si="820"/>
        <v>12.984500000000001</v>
      </c>
      <c r="Z558" s="21">
        <f t="shared" si="821"/>
        <v>8195</v>
      </c>
      <c r="AA558" s="44">
        <f t="shared" si="822"/>
        <v>0</v>
      </c>
      <c r="AB558" s="21">
        <f t="shared" si="817"/>
        <v>9</v>
      </c>
      <c r="AC558" s="119">
        <f>ROUND(I558+mwreg!$G$64/100,3)</f>
        <v>-0.54400000000000004</v>
      </c>
      <c r="AD558" s="108">
        <f>ROUND(J558+mwreg!$G$64/100,3)</f>
        <v>1.1020000000000001</v>
      </c>
      <c r="AE558" s="108">
        <f>ROUND(K558+mwreg!$G$64/100,3)</f>
        <v>0.20699999999999999</v>
      </c>
      <c r="AF558" s="102">
        <f t="shared" si="825"/>
        <v>0.1487</v>
      </c>
      <c r="AG558" s="102">
        <f t="shared" si="826"/>
        <v>6.3E-2</v>
      </c>
      <c r="AH558" s="109">
        <f t="shared" si="827"/>
        <v>6.6299999999999998E-2</v>
      </c>
      <c r="AI558" s="110">
        <f t="shared" si="828"/>
        <v>180</v>
      </c>
      <c r="AJ558" s="110">
        <f t="shared" si="829"/>
        <v>60</v>
      </c>
      <c r="AK558" s="108">
        <f t="shared" si="830"/>
        <v>1E-3</v>
      </c>
      <c r="AL558" s="110">
        <f t="shared" si="831"/>
        <v>3</v>
      </c>
      <c r="AM558" s="110">
        <f t="shared" si="832"/>
        <v>1500</v>
      </c>
      <c r="AN558" s="108">
        <f t="shared" si="833"/>
        <v>0.1</v>
      </c>
      <c r="AO558" s="186" t="str">
        <f t="shared" si="868"/>
        <v>NaN</v>
      </c>
    </row>
    <row r="559" spans="1:41" x14ac:dyDescent="0.2">
      <c r="A559" s="3" t="s">
        <v>296</v>
      </c>
      <c r="B559" s="3" t="s">
        <v>296</v>
      </c>
      <c r="C559" s="52">
        <v>35152</v>
      </c>
      <c r="D559" s="105">
        <v>55.625700000000002</v>
      </c>
      <c r="E559" s="105">
        <v>12.984500000000001</v>
      </c>
      <c r="F559" s="20">
        <v>8195</v>
      </c>
      <c r="G559" s="18">
        <v>0</v>
      </c>
      <c r="H559" s="53">
        <v>10</v>
      </c>
      <c r="I559" s="121">
        <f t="shared" si="887"/>
        <v>-0.81299999999999994</v>
      </c>
      <c r="J559" s="101">
        <f t="shared" si="887"/>
        <v>1.1259999999999999</v>
      </c>
      <c r="K559" s="101">
        <f t="shared" si="887"/>
        <v>7.3999999999999996E-2</v>
      </c>
      <c r="L559" s="102">
        <f t="shared" si="890"/>
        <v>0.17599999999999999</v>
      </c>
      <c r="M559" s="102">
        <f t="shared" si="890"/>
        <v>6.6500000000000004E-2</v>
      </c>
      <c r="N559" s="102">
        <f t="shared" si="890"/>
        <v>7.0000000000000007E-2</v>
      </c>
      <c r="O559" s="21">
        <f t="shared" si="888"/>
        <v>180</v>
      </c>
      <c r="P559" s="21">
        <f t="shared" si="888"/>
        <v>60</v>
      </c>
      <c r="Q559" s="101">
        <f t="shared" si="891"/>
        <v>1E-3</v>
      </c>
      <c r="R559" s="21">
        <f t="shared" si="889"/>
        <v>3</v>
      </c>
      <c r="S559" s="21">
        <f t="shared" si="889"/>
        <v>1500</v>
      </c>
      <c r="T559" s="101">
        <f t="shared" si="892"/>
        <v>0.1</v>
      </c>
      <c r="U559" s="123" t="s">
        <v>282</v>
      </c>
      <c r="V559" s="21"/>
      <c r="W559" s="58">
        <f t="shared" si="818"/>
        <v>35152</v>
      </c>
      <c r="X559" s="102">
        <f t="shared" si="819"/>
        <v>55.625700000000002</v>
      </c>
      <c r="Y559" s="102">
        <f t="shared" si="820"/>
        <v>12.984500000000001</v>
      </c>
      <c r="Z559" s="21">
        <f t="shared" si="821"/>
        <v>8195</v>
      </c>
      <c r="AA559" s="44">
        <f t="shared" si="822"/>
        <v>0</v>
      </c>
      <c r="AB559" s="21">
        <f t="shared" si="817"/>
        <v>10</v>
      </c>
      <c r="AC559" s="119">
        <f>ROUND(I559+mwreg!$G$64/100,3)</f>
        <v>-0.68600000000000005</v>
      </c>
      <c r="AD559" s="108">
        <f>ROUND(J559+mwreg!$G$64/100,3)</f>
        <v>1.2529999999999999</v>
      </c>
      <c r="AE559" s="108">
        <f>ROUND(K559+mwreg!$G$64/100,3)</f>
        <v>0.20100000000000001</v>
      </c>
      <c r="AF559" s="102">
        <f t="shared" si="825"/>
        <v>0.17599999999999999</v>
      </c>
      <c r="AG559" s="102">
        <f t="shared" si="826"/>
        <v>6.6500000000000004E-2</v>
      </c>
      <c r="AH559" s="109">
        <f t="shared" si="827"/>
        <v>7.0000000000000007E-2</v>
      </c>
      <c r="AI559" s="110">
        <f t="shared" si="828"/>
        <v>180</v>
      </c>
      <c r="AJ559" s="110">
        <f t="shared" si="829"/>
        <v>60</v>
      </c>
      <c r="AK559" s="108">
        <f t="shared" si="830"/>
        <v>1E-3</v>
      </c>
      <c r="AL559" s="110">
        <f t="shared" si="831"/>
        <v>3</v>
      </c>
      <c r="AM559" s="110">
        <f t="shared" si="832"/>
        <v>1500</v>
      </c>
      <c r="AN559" s="108">
        <f t="shared" si="833"/>
        <v>0.1</v>
      </c>
      <c r="AO559" s="186" t="str">
        <f t="shared" si="868"/>
        <v>NaN</v>
      </c>
    </row>
    <row r="560" spans="1:41" x14ac:dyDescent="0.2">
      <c r="A560" s="3" t="s">
        <v>296</v>
      </c>
      <c r="B560" s="3" t="s">
        <v>296</v>
      </c>
      <c r="C560" s="52">
        <v>35152</v>
      </c>
      <c r="D560" s="105">
        <v>55.625700000000002</v>
      </c>
      <c r="E560" s="105">
        <v>12.984500000000001</v>
      </c>
      <c r="F560" s="20">
        <v>8195</v>
      </c>
      <c r="G560" s="18">
        <v>0</v>
      </c>
      <c r="H560" s="53">
        <v>11</v>
      </c>
      <c r="I560" s="121">
        <f t="shared" si="887"/>
        <v>-0.96299999999999997</v>
      </c>
      <c r="J560" s="101">
        <f t="shared" si="887"/>
        <v>1.33</v>
      </c>
      <c r="K560" s="101">
        <f t="shared" si="887"/>
        <v>3.7999999999999999E-2</v>
      </c>
      <c r="L560" s="102">
        <f t="shared" si="890"/>
        <v>0.20030000000000001</v>
      </c>
      <c r="M560" s="102">
        <f t="shared" si="890"/>
        <v>5.7099999999999998E-2</v>
      </c>
      <c r="N560" s="102">
        <f t="shared" si="890"/>
        <v>6.0699999999999997E-2</v>
      </c>
      <c r="O560" s="21">
        <f t="shared" si="888"/>
        <v>180</v>
      </c>
      <c r="P560" s="21">
        <f t="shared" si="888"/>
        <v>60</v>
      </c>
      <c r="Q560" s="101">
        <f t="shared" si="891"/>
        <v>1E-3</v>
      </c>
      <c r="R560" s="21">
        <f t="shared" si="889"/>
        <v>3</v>
      </c>
      <c r="S560" s="21">
        <f t="shared" si="889"/>
        <v>1500</v>
      </c>
      <c r="T560" s="101">
        <f t="shared" si="892"/>
        <v>0.1</v>
      </c>
      <c r="U560" s="123" t="s">
        <v>282</v>
      </c>
      <c r="V560" s="21"/>
      <c r="W560" s="58">
        <f t="shared" si="818"/>
        <v>35152</v>
      </c>
      <c r="X560" s="102">
        <f t="shared" si="819"/>
        <v>55.625700000000002</v>
      </c>
      <c r="Y560" s="102">
        <f t="shared" si="820"/>
        <v>12.984500000000001</v>
      </c>
      <c r="Z560" s="21">
        <f t="shared" si="821"/>
        <v>8195</v>
      </c>
      <c r="AA560" s="44">
        <f t="shared" si="822"/>
        <v>0</v>
      </c>
      <c r="AB560" s="21">
        <f t="shared" si="817"/>
        <v>11</v>
      </c>
      <c r="AC560" s="119">
        <f>ROUND(I560+mwreg!$G$64/100,3)</f>
        <v>-0.83599999999999997</v>
      </c>
      <c r="AD560" s="108">
        <f>ROUND(J560+mwreg!$G$64/100,3)</f>
        <v>1.4570000000000001</v>
      </c>
      <c r="AE560" s="108">
        <f>ROUND(K560+mwreg!$G$64/100,3)</f>
        <v>0.16500000000000001</v>
      </c>
      <c r="AF560" s="102">
        <f t="shared" si="825"/>
        <v>0.20030000000000001</v>
      </c>
      <c r="AG560" s="102">
        <f t="shared" si="826"/>
        <v>5.7099999999999998E-2</v>
      </c>
      <c r="AH560" s="109">
        <f t="shared" si="827"/>
        <v>6.0699999999999997E-2</v>
      </c>
      <c r="AI560" s="110">
        <f t="shared" si="828"/>
        <v>180</v>
      </c>
      <c r="AJ560" s="110">
        <f t="shared" si="829"/>
        <v>60</v>
      </c>
      <c r="AK560" s="108">
        <f t="shared" si="830"/>
        <v>1E-3</v>
      </c>
      <c r="AL560" s="110">
        <f t="shared" si="831"/>
        <v>3</v>
      </c>
      <c r="AM560" s="110">
        <f t="shared" si="832"/>
        <v>1500</v>
      </c>
      <c r="AN560" s="108">
        <f t="shared" si="833"/>
        <v>0.1</v>
      </c>
      <c r="AO560" s="186" t="str">
        <f t="shared" si="868"/>
        <v>NaN</v>
      </c>
    </row>
    <row r="561" spans="1:41" x14ac:dyDescent="0.2">
      <c r="A561" s="3" t="s">
        <v>296</v>
      </c>
      <c r="B561" s="3" t="s">
        <v>296</v>
      </c>
      <c r="C561" s="52">
        <v>35152</v>
      </c>
      <c r="D561" s="105">
        <v>55.625700000000002</v>
      </c>
      <c r="E561" s="105">
        <v>12.984500000000001</v>
      </c>
      <c r="F561" s="20">
        <v>8195</v>
      </c>
      <c r="G561" s="18">
        <v>0</v>
      </c>
      <c r="H561" s="53">
        <v>12</v>
      </c>
      <c r="I561" s="121">
        <f t="shared" si="887"/>
        <v>-0.89100000000000001</v>
      </c>
      <c r="J561" s="101">
        <f t="shared" si="887"/>
        <v>1.446</v>
      </c>
      <c r="K561" s="101">
        <f t="shared" si="887"/>
        <v>5.7000000000000002E-2</v>
      </c>
      <c r="L561" s="102">
        <f t="shared" si="890"/>
        <v>0.2056</v>
      </c>
      <c r="M561" s="102">
        <f t="shared" si="890"/>
        <v>6.2199999999999998E-2</v>
      </c>
      <c r="N561" s="102">
        <f t="shared" si="890"/>
        <v>6.5799999999999997E-2</v>
      </c>
      <c r="O561" s="21">
        <f t="shared" si="888"/>
        <v>180</v>
      </c>
      <c r="P561" s="21">
        <f t="shared" si="888"/>
        <v>60</v>
      </c>
      <c r="Q561" s="101">
        <f t="shared" si="891"/>
        <v>1E-3</v>
      </c>
      <c r="R561" s="21">
        <f t="shared" si="889"/>
        <v>3</v>
      </c>
      <c r="S561" s="21">
        <f t="shared" si="889"/>
        <v>1500</v>
      </c>
      <c r="T561" s="101">
        <f t="shared" si="892"/>
        <v>0.1</v>
      </c>
      <c r="U561" s="123" t="s">
        <v>282</v>
      </c>
      <c r="V561" s="21"/>
      <c r="W561" s="58">
        <f t="shared" si="818"/>
        <v>35152</v>
      </c>
      <c r="X561" s="102">
        <f t="shared" si="819"/>
        <v>55.625700000000002</v>
      </c>
      <c r="Y561" s="102">
        <f t="shared" si="820"/>
        <v>12.984500000000001</v>
      </c>
      <c r="Z561" s="21">
        <f t="shared" si="821"/>
        <v>8195</v>
      </c>
      <c r="AA561" s="44">
        <f t="shared" si="822"/>
        <v>0</v>
      </c>
      <c r="AB561" s="21">
        <f t="shared" si="817"/>
        <v>12</v>
      </c>
      <c r="AC561" s="119">
        <f>ROUND(I561+mwreg!$G$64/100,3)</f>
        <v>-0.76400000000000001</v>
      </c>
      <c r="AD561" s="108">
        <f>ROUND(J561+mwreg!$G$64/100,3)</f>
        <v>1.573</v>
      </c>
      <c r="AE561" s="108">
        <f>ROUND(K561+mwreg!$G$64/100,3)</f>
        <v>0.184</v>
      </c>
      <c r="AF561" s="102">
        <f t="shared" si="825"/>
        <v>0.2056</v>
      </c>
      <c r="AG561" s="102">
        <f t="shared" si="826"/>
        <v>6.2199999999999998E-2</v>
      </c>
      <c r="AH561" s="109">
        <f t="shared" si="827"/>
        <v>6.5799999999999997E-2</v>
      </c>
      <c r="AI561" s="110">
        <f t="shared" si="828"/>
        <v>180</v>
      </c>
      <c r="AJ561" s="110">
        <f t="shared" si="829"/>
        <v>60</v>
      </c>
      <c r="AK561" s="108">
        <f t="shared" si="830"/>
        <v>1E-3</v>
      </c>
      <c r="AL561" s="110">
        <f t="shared" si="831"/>
        <v>3</v>
      </c>
      <c r="AM561" s="110">
        <f t="shared" si="832"/>
        <v>1500</v>
      </c>
      <c r="AN561" s="108">
        <f t="shared" si="833"/>
        <v>0.1</v>
      </c>
      <c r="AO561" s="186" t="str">
        <f t="shared" si="868"/>
        <v>NaN</v>
      </c>
    </row>
    <row r="562" spans="1:41" x14ac:dyDescent="0.2">
      <c r="A562" s="3" t="str">
        <f>stat_uppg!A55</f>
        <v>2098/33077</v>
      </c>
      <c r="B562" s="3" t="str">
        <f>stat_uppg!B55</f>
        <v>Malmö (SMHI) nedlagd</v>
      </c>
      <c r="C562" s="52">
        <v>2098</v>
      </c>
      <c r="D562" s="105">
        <v>55.616700000000002</v>
      </c>
      <c r="E562" s="105">
        <v>13</v>
      </c>
      <c r="F562" s="20">
        <v>8195</v>
      </c>
      <c r="G562" s="18">
        <v>0</v>
      </c>
      <c r="H562" s="53">
        <v>1</v>
      </c>
      <c r="I562" s="121">
        <f t="shared" ref="I562:K573" si="893">ROUND(0.496*I514+0.504*I574,3)</f>
        <v>-0.98799999999999999</v>
      </c>
      <c r="J562" s="101">
        <f t="shared" si="893"/>
        <v>1.3560000000000001</v>
      </c>
      <c r="K562" s="101">
        <f t="shared" si="893"/>
        <v>9.0999999999999998E-2</v>
      </c>
      <c r="L562" s="102">
        <f>ROUND(0.496*L514+0.504*L574,4)</f>
        <v>0.23769999999999999</v>
      </c>
      <c r="M562" s="102">
        <f>ROUND(0.496*M514+0.504*M574,4)</f>
        <v>5.4800000000000001E-2</v>
      </c>
      <c r="N562" s="102">
        <f>ROUND(0.496*N514+0.504*N574,4)</f>
        <v>5.8500000000000003E-2</v>
      </c>
      <c r="O562" s="21">
        <f t="shared" ref="O562:P573" si="894">ROUND(0.496*O514+0.504*O574,0)</f>
        <v>180</v>
      </c>
      <c r="P562" s="21">
        <f t="shared" si="894"/>
        <v>60</v>
      </c>
      <c r="Q562" s="101">
        <f>ROUND(0.496*Q514+0.504*Q574,3)</f>
        <v>1E-3</v>
      </c>
      <c r="R562" s="21">
        <f t="shared" ref="R562:S573" si="895">ROUND(0.496*R514+0.504*R574,0)</f>
        <v>3</v>
      </c>
      <c r="S562" s="21">
        <f t="shared" si="895"/>
        <v>1500</v>
      </c>
      <c r="T562" s="101">
        <f>ROUND(0.496*T514+0.504*T574,3)</f>
        <v>0.1</v>
      </c>
      <c r="U562" s="123" t="s">
        <v>282</v>
      </c>
      <c r="V562" s="21"/>
      <c r="W562" s="58">
        <f t="shared" si="818"/>
        <v>2098</v>
      </c>
      <c r="X562" s="102">
        <f t="shared" si="819"/>
        <v>55.616700000000002</v>
      </c>
      <c r="Y562" s="102">
        <f t="shared" si="820"/>
        <v>13</v>
      </c>
      <c r="Z562" s="21">
        <f t="shared" si="821"/>
        <v>8195</v>
      </c>
      <c r="AA562" s="44">
        <f t="shared" si="822"/>
        <v>0</v>
      </c>
      <c r="AB562" s="21">
        <f t="shared" si="817"/>
        <v>1</v>
      </c>
      <c r="AC562" s="119">
        <f>ROUND(I562+mwreg!$G$65/100,3)</f>
        <v>-0.86099999999999999</v>
      </c>
      <c r="AD562" s="108">
        <f>ROUND(J562+mwreg!$G$65/100,3)</f>
        <v>1.4830000000000001</v>
      </c>
      <c r="AE562" s="108">
        <f>ROUND(K562+mwreg!$G$65/100,3)</f>
        <v>0.218</v>
      </c>
      <c r="AF562" s="102">
        <f t="shared" si="825"/>
        <v>0.23769999999999999</v>
      </c>
      <c r="AG562" s="102">
        <f t="shared" si="826"/>
        <v>5.4800000000000001E-2</v>
      </c>
      <c r="AH562" s="109">
        <f t="shared" si="827"/>
        <v>5.8500000000000003E-2</v>
      </c>
      <c r="AI562" s="110">
        <f t="shared" si="828"/>
        <v>180</v>
      </c>
      <c r="AJ562" s="110">
        <f t="shared" si="829"/>
        <v>60</v>
      </c>
      <c r="AK562" s="108">
        <f t="shared" si="830"/>
        <v>1E-3</v>
      </c>
      <c r="AL562" s="110">
        <f t="shared" si="831"/>
        <v>3</v>
      </c>
      <c r="AM562" s="110">
        <f t="shared" si="832"/>
        <v>1500</v>
      </c>
      <c r="AN562" s="108">
        <f t="shared" si="833"/>
        <v>0.1</v>
      </c>
      <c r="AO562" s="186" t="str">
        <f t="shared" si="868"/>
        <v>NaN</v>
      </c>
    </row>
    <row r="563" spans="1:41" x14ac:dyDescent="0.2">
      <c r="A563" s="3" t="s">
        <v>296</v>
      </c>
      <c r="B563" s="3" t="s">
        <v>296</v>
      </c>
      <c r="C563" s="52">
        <v>2098</v>
      </c>
      <c r="D563" s="105">
        <v>55.616700000000002</v>
      </c>
      <c r="E563" s="105">
        <v>13</v>
      </c>
      <c r="F563" s="20">
        <v>8195</v>
      </c>
      <c r="G563" s="18">
        <v>0</v>
      </c>
      <c r="H563" s="53">
        <v>2</v>
      </c>
      <c r="I563" s="121">
        <f t="shared" si="893"/>
        <v>-0.89700000000000002</v>
      </c>
      <c r="J563" s="101">
        <f t="shared" si="893"/>
        <v>1.18</v>
      </c>
      <c r="K563" s="101">
        <f t="shared" si="893"/>
        <v>3.3000000000000002E-2</v>
      </c>
      <c r="L563" s="102">
        <f t="shared" ref="L563:N573" si="896">ROUND(0.496*L515+0.504*L575,4)</f>
        <v>0.23200000000000001</v>
      </c>
      <c r="M563" s="102">
        <f t="shared" si="896"/>
        <v>6.3600000000000004E-2</v>
      </c>
      <c r="N563" s="102">
        <f t="shared" si="896"/>
        <v>6.7199999999999996E-2</v>
      </c>
      <c r="O563" s="21">
        <f t="shared" si="894"/>
        <v>180</v>
      </c>
      <c r="P563" s="21">
        <f t="shared" si="894"/>
        <v>60</v>
      </c>
      <c r="Q563" s="101">
        <f t="shared" ref="Q563:Q573" si="897">ROUND(0.496*Q515+0.504*Q575,3)</f>
        <v>1E-3</v>
      </c>
      <c r="R563" s="21">
        <f t="shared" si="895"/>
        <v>3</v>
      </c>
      <c r="S563" s="21">
        <f t="shared" si="895"/>
        <v>1500</v>
      </c>
      <c r="T563" s="101">
        <f t="shared" ref="T563:T573" si="898">ROUND(0.496*T515+0.504*T575,3)</f>
        <v>0.1</v>
      </c>
      <c r="U563" s="123" t="s">
        <v>282</v>
      </c>
      <c r="V563" s="21"/>
      <c r="W563" s="58">
        <f t="shared" si="818"/>
        <v>2098</v>
      </c>
      <c r="X563" s="102">
        <f t="shared" si="819"/>
        <v>55.616700000000002</v>
      </c>
      <c r="Y563" s="102">
        <f t="shared" si="820"/>
        <v>13</v>
      </c>
      <c r="Z563" s="21">
        <f t="shared" si="821"/>
        <v>8195</v>
      </c>
      <c r="AA563" s="44">
        <f t="shared" si="822"/>
        <v>0</v>
      </c>
      <c r="AB563" s="21">
        <f t="shared" si="817"/>
        <v>2</v>
      </c>
      <c r="AC563" s="119">
        <f>ROUND(I563+mwreg!$G$65/100,3)</f>
        <v>-0.77</v>
      </c>
      <c r="AD563" s="108">
        <f>ROUND(J563+mwreg!$G$65/100,3)</f>
        <v>1.3069999999999999</v>
      </c>
      <c r="AE563" s="108">
        <f>ROUND(K563+mwreg!$G$65/100,3)</f>
        <v>0.16</v>
      </c>
      <c r="AF563" s="102">
        <f t="shared" si="825"/>
        <v>0.23200000000000001</v>
      </c>
      <c r="AG563" s="102">
        <f t="shared" si="826"/>
        <v>6.3600000000000004E-2</v>
      </c>
      <c r="AH563" s="109">
        <f t="shared" si="827"/>
        <v>6.7199999999999996E-2</v>
      </c>
      <c r="AI563" s="110">
        <f t="shared" si="828"/>
        <v>180</v>
      </c>
      <c r="AJ563" s="110">
        <f t="shared" si="829"/>
        <v>60</v>
      </c>
      <c r="AK563" s="108">
        <f t="shared" si="830"/>
        <v>1E-3</v>
      </c>
      <c r="AL563" s="110">
        <f t="shared" si="831"/>
        <v>3</v>
      </c>
      <c r="AM563" s="110">
        <f t="shared" si="832"/>
        <v>1500</v>
      </c>
      <c r="AN563" s="108">
        <f t="shared" si="833"/>
        <v>0.1</v>
      </c>
      <c r="AO563" s="186" t="str">
        <f t="shared" si="868"/>
        <v>NaN</v>
      </c>
    </row>
    <row r="564" spans="1:41" x14ac:dyDescent="0.2">
      <c r="A564" s="3" t="s">
        <v>296</v>
      </c>
      <c r="B564" s="3" t="s">
        <v>296</v>
      </c>
      <c r="C564" s="52">
        <v>2098</v>
      </c>
      <c r="D564" s="105">
        <v>55.616700000000002</v>
      </c>
      <c r="E564" s="105">
        <v>13</v>
      </c>
      <c r="F564" s="20">
        <v>8195</v>
      </c>
      <c r="G564" s="18">
        <v>0</v>
      </c>
      <c r="H564" s="53">
        <v>3</v>
      </c>
      <c r="I564" s="121">
        <f t="shared" si="893"/>
        <v>-0.92200000000000004</v>
      </c>
      <c r="J564" s="101">
        <f t="shared" si="893"/>
        <v>1.1379999999999999</v>
      </c>
      <c r="K564" s="101">
        <f t="shared" si="893"/>
        <v>0</v>
      </c>
      <c r="L564" s="102">
        <f t="shared" si="896"/>
        <v>0.2099</v>
      </c>
      <c r="M564" s="102">
        <f t="shared" si="896"/>
        <v>6.2899999999999998E-2</v>
      </c>
      <c r="N564" s="102">
        <f t="shared" si="896"/>
        <v>6.6500000000000004E-2</v>
      </c>
      <c r="O564" s="21">
        <f t="shared" si="894"/>
        <v>180</v>
      </c>
      <c r="P564" s="21">
        <f t="shared" si="894"/>
        <v>60</v>
      </c>
      <c r="Q564" s="101">
        <f t="shared" si="897"/>
        <v>1E-3</v>
      </c>
      <c r="R564" s="21">
        <f t="shared" si="895"/>
        <v>3</v>
      </c>
      <c r="S564" s="21">
        <f t="shared" si="895"/>
        <v>1500</v>
      </c>
      <c r="T564" s="101">
        <f t="shared" si="898"/>
        <v>0.1</v>
      </c>
      <c r="U564" s="123" t="s">
        <v>282</v>
      </c>
      <c r="V564" s="21"/>
      <c r="W564" s="58">
        <f t="shared" si="818"/>
        <v>2098</v>
      </c>
      <c r="X564" s="102">
        <f t="shared" si="819"/>
        <v>55.616700000000002</v>
      </c>
      <c r="Y564" s="102">
        <f t="shared" si="820"/>
        <v>13</v>
      </c>
      <c r="Z564" s="21">
        <f t="shared" si="821"/>
        <v>8195</v>
      </c>
      <c r="AA564" s="44">
        <f t="shared" si="822"/>
        <v>0</v>
      </c>
      <c r="AB564" s="21">
        <f t="shared" si="817"/>
        <v>3</v>
      </c>
      <c r="AC564" s="119">
        <f>ROUND(I564+mwreg!$G$65/100,3)</f>
        <v>-0.79500000000000004</v>
      </c>
      <c r="AD564" s="108">
        <f>ROUND(J564+mwreg!$G$65/100,3)</f>
        <v>1.2649999999999999</v>
      </c>
      <c r="AE564" s="108">
        <f>ROUND(K564+mwreg!$G$65/100,3)</f>
        <v>0.127</v>
      </c>
      <c r="AF564" s="102">
        <f t="shared" si="825"/>
        <v>0.2099</v>
      </c>
      <c r="AG564" s="102">
        <f t="shared" si="826"/>
        <v>6.2899999999999998E-2</v>
      </c>
      <c r="AH564" s="109">
        <f t="shared" si="827"/>
        <v>6.6500000000000004E-2</v>
      </c>
      <c r="AI564" s="110">
        <f t="shared" si="828"/>
        <v>180</v>
      </c>
      <c r="AJ564" s="110">
        <f t="shared" si="829"/>
        <v>60</v>
      </c>
      <c r="AK564" s="108">
        <f t="shared" si="830"/>
        <v>1E-3</v>
      </c>
      <c r="AL564" s="110">
        <f t="shared" si="831"/>
        <v>3</v>
      </c>
      <c r="AM564" s="110">
        <f t="shared" si="832"/>
        <v>1500</v>
      </c>
      <c r="AN564" s="108">
        <f t="shared" si="833"/>
        <v>0.1</v>
      </c>
      <c r="AO564" s="186" t="str">
        <f t="shared" si="868"/>
        <v>NaN</v>
      </c>
    </row>
    <row r="565" spans="1:41" x14ac:dyDescent="0.2">
      <c r="A565" s="3" t="s">
        <v>296</v>
      </c>
      <c r="B565" s="3" t="s">
        <v>296</v>
      </c>
      <c r="C565" s="52">
        <v>2098</v>
      </c>
      <c r="D565" s="105">
        <v>55.616700000000002</v>
      </c>
      <c r="E565" s="105">
        <v>13</v>
      </c>
      <c r="F565" s="20">
        <v>8195</v>
      </c>
      <c r="G565" s="18">
        <v>0</v>
      </c>
      <c r="H565" s="53">
        <v>4</v>
      </c>
      <c r="I565" s="121">
        <f t="shared" si="893"/>
        <v>-0.63100000000000001</v>
      </c>
      <c r="J565" s="101">
        <f t="shared" si="893"/>
        <v>1.0920000000000001</v>
      </c>
      <c r="K565" s="101">
        <f t="shared" si="893"/>
        <v>-0.05</v>
      </c>
      <c r="L565" s="102">
        <f t="shared" si="896"/>
        <v>0.1457</v>
      </c>
      <c r="M565" s="102">
        <f t="shared" si="896"/>
        <v>9.8799999999999999E-2</v>
      </c>
      <c r="N565" s="102">
        <f t="shared" si="896"/>
        <v>0.1027</v>
      </c>
      <c r="O565" s="21">
        <f t="shared" si="894"/>
        <v>180</v>
      </c>
      <c r="P565" s="21">
        <f t="shared" si="894"/>
        <v>60</v>
      </c>
      <c r="Q565" s="101">
        <f t="shared" si="897"/>
        <v>1E-3</v>
      </c>
      <c r="R565" s="21">
        <f t="shared" si="895"/>
        <v>3</v>
      </c>
      <c r="S565" s="21">
        <f t="shared" si="895"/>
        <v>1500</v>
      </c>
      <c r="T565" s="101">
        <f t="shared" si="898"/>
        <v>0.1</v>
      </c>
      <c r="U565" s="123" t="s">
        <v>282</v>
      </c>
      <c r="V565" s="21"/>
      <c r="W565" s="58">
        <f t="shared" si="818"/>
        <v>2098</v>
      </c>
      <c r="X565" s="102">
        <f t="shared" si="819"/>
        <v>55.616700000000002</v>
      </c>
      <c r="Y565" s="102">
        <f t="shared" si="820"/>
        <v>13</v>
      </c>
      <c r="Z565" s="21">
        <f t="shared" si="821"/>
        <v>8195</v>
      </c>
      <c r="AA565" s="44">
        <f t="shared" si="822"/>
        <v>0</v>
      </c>
      <c r="AB565" s="21">
        <f t="shared" si="817"/>
        <v>4</v>
      </c>
      <c r="AC565" s="119">
        <f>ROUND(I565+mwreg!$G$65/100,3)</f>
        <v>-0.504</v>
      </c>
      <c r="AD565" s="108">
        <f>ROUND(J565+mwreg!$G$65/100,3)</f>
        <v>1.2190000000000001</v>
      </c>
      <c r="AE565" s="108">
        <f>ROUND(K565+mwreg!$G$65/100,3)</f>
        <v>7.6999999999999999E-2</v>
      </c>
      <c r="AF565" s="102">
        <f t="shared" si="825"/>
        <v>0.1457</v>
      </c>
      <c r="AG565" s="102">
        <f t="shared" si="826"/>
        <v>9.8799999999999999E-2</v>
      </c>
      <c r="AH565" s="109">
        <f t="shared" si="827"/>
        <v>0.1027</v>
      </c>
      <c r="AI565" s="110">
        <f t="shared" si="828"/>
        <v>180</v>
      </c>
      <c r="AJ565" s="110">
        <f t="shared" si="829"/>
        <v>60</v>
      </c>
      <c r="AK565" s="108">
        <f t="shared" si="830"/>
        <v>1E-3</v>
      </c>
      <c r="AL565" s="110">
        <f t="shared" si="831"/>
        <v>3</v>
      </c>
      <c r="AM565" s="110">
        <f t="shared" si="832"/>
        <v>1500</v>
      </c>
      <c r="AN565" s="108">
        <f t="shared" si="833"/>
        <v>0.1</v>
      </c>
      <c r="AO565" s="186" t="str">
        <f t="shared" si="868"/>
        <v>NaN</v>
      </c>
    </row>
    <row r="566" spans="1:41" x14ac:dyDescent="0.2">
      <c r="A566" s="3" t="s">
        <v>296</v>
      </c>
      <c r="B566" s="3" t="s">
        <v>296</v>
      </c>
      <c r="C566" s="52">
        <v>2098</v>
      </c>
      <c r="D566" s="105">
        <v>55.616700000000002</v>
      </c>
      <c r="E566" s="105">
        <v>13</v>
      </c>
      <c r="F566" s="20">
        <v>8195</v>
      </c>
      <c r="G566" s="18">
        <v>0</v>
      </c>
      <c r="H566" s="53">
        <v>5</v>
      </c>
      <c r="I566" s="121">
        <f t="shared" si="893"/>
        <v>-0.58199999999999996</v>
      </c>
      <c r="J566" s="101">
        <f t="shared" si="893"/>
        <v>0.54700000000000004</v>
      </c>
      <c r="K566" s="101">
        <f t="shared" si="893"/>
        <v>-3.2000000000000001E-2</v>
      </c>
      <c r="L566" s="102">
        <f t="shared" si="896"/>
        <v>0.1191</v>
      </c>
      <c r="M566" s="102">
        <f t="shared" si="896"/>
        <v>9.0399999999999994E-2</v>
      </c>
      <c r="N566" s="102">
        <f t="shared" si="896"/>
        <v>9.3799999999999994E-2</v>
      </c>
      <c r="O566" s="21">
        <f t="shared" si="894"/>
        <v>180</v>
      </c>
      <c r="P566" s="21">
        <f t="shared" si="894"/>
        <v>60</v>
      </c>
      <c r="Q566" s="101">
        <f t="shared" si="897"/>
        <v>1E-3</v>
      </c>
      <c r="R566" s="21">
        <f t="shared" si="895"/>
        <v>3</v>
      </c>
      <c r="S566" s="21">
        <f t="shared" si="895"/>
        <v>1500</v>
      </c>
      <c r="T566" s="101">
        <f t="shared" si="898"/>
        <v>0.1</v>
      </c>
      <c r="U566" s="123" t="s">
        <v>282</v>
      </c>
      <c r="V566" s="21"/>
      <c r="W566" s="58">
        <f t="shared" si="818"/>
        <v>2098</v>
      </c>
      <c r="X566" s="102">
        <f t="shared" si="819"/>
        <v>55.616700000000002</v>
      </c>
      <c r="Y566" s="102">
        <f t="shared" si="820"/>
        <v>13</v>
      </c>
      <c r="Z566" s="21">
        <f t="shared" si="821"/>
        <v>8195</v>
      </c>
      <c r="AA566" s="44">
        <f t="shared" si="822"/>
        <v>0</v>
      </c>
      <c r="AB566" s="21">
        <f t="shared" ref="AB566:AB629" si="899">H566</f>
        <v>5</v>
      </c>
      <c r="AC566" s="119">
        <f>ROUND(I566+mwreg!$G$65/100,3)</f>
        <v>-0.45500000000000002</v>
      </c>
      <c r="AD566" s="108">
        <f>ROUND(J566+mwreg!$G$65/100,3)</f>
        <v>0.67400000000000004</v>
      </c>
      <c r="AE566" s="108">
        <f>ROUND(K566+mwreg!$G$65/100,3)</f>
        <v>9.5000000000000001E-2</v>
      </c>
      <c r="AF566" s="102">
        <f t="shared" si="825"/>
        <v>0.1191</v>
      </c>
      <c r="AG566" s="102">
        <f t="shared" si="826"/>
        <v>9.0399999999999994E-2</v>
      </c>
      <c r="AH566" s="109">
        <f t="shared" si="827"/>
        <v>9.3799999999999994E-2</v>
      </c>
      <c r="AI566" s="110">
        <f t="shared" si="828"/>
        <v>180</v>
      </c>
      <c r="AJ566" s="110">
        <f t="shared" si="829"/>
        <v>60</v>
      </c>
      <c r="AK566" s="108">
        <f t="shared" si="830"/>
        <v>1E-3</v>
      </c>
      <c r="AL566" s="110">
        <f t="shared" si="831"/>
        <v>3</v>
      </c>
      <c r="AM566" s="110">
        <f t="shared" si="832"/>
        <v>1500</v>
      </c>
      <c r="AN566" s="108">
        <f t="shared" si="833"/>
        <v>0.1</v>
      </c>
      <c r="AO566" s="186" t="str">
        <f t="shared" si="868"/>
        <v>NaN</v>
      </c>
    </row>
    <row r="567" spans="1:41" x14ac:dyDescent="0.2">
      <c r="A567" s="3" t="s">
        <v>296</v>
      </c>
      <c r="B567" s="3" t="s">
        <v>296</v>
      </c>
      <c r="C567" s="52">
        <v>2098</v>
      </c>
      <c r="D567" s="105">
        <v>55.616700000000002</v>
      </c>
      <c r="E567" s="105">
        <v>13</v>
      </c>
      <c r="F567" s="20">
        <v>8195</v>
      </c>
      <c r="G567" s="18">
        <v>0</v>
      </c>
      <c r="H567" s="53">
        <v>6</v>
      </c>
      <c r="I567" s="121">
        <f t="shared" si="893"/>
        <v>-0.442</v>
      </c>
      <c r="J567" s="101">
        <f t="shared" si="893"/>
        <v>0.65300000000000002</v>
      </c>
      <c r="K567" s="101">
        <f t="shared" si="893"/>
        <v>-5.0000000000000001E-3</v>
      </c>
      <c r="L567" s="102">
        <f t="shared" si="896"/>
        <v>0.10929999999999999</v>
      </c>
      <c r="M567" s="102">
        <f t="shared" si="896"/>
        <v>0.1024</v>
      </c>
      <c r="N567" s="102">
        <f t="shared" si="896"/>
        <v>0.106</v>
      </c>
      <c r="O567" s="21">
        <f t="shared" si="894"/>
        <v>180</v>
      </c>
      <c r="P567" s="21">
        <f t="shared" si="894"/>
        <v>60</v>
      </c>
      <c r="Q567" s="101">
        <f t="shared" si="897"/>
        <v>1E-3</v>
      </c>
      <c r="R567" s="21">
        <f t="shared" si="895"/>
        <v>3</v>
      </c>
      <c r="S567" s="21">
        <f t="shared" si="895"/>
        <v>1500</v>
      </c>
      <c r="T567" s="101">
        <f t="shared" si="898"/>
        <v>0.1</v>
      </c>
      <c r="U567" s="123" t="s">
        <v>282</v>
      </c>
      <c r="V567" s="21"/>
      <c r="W567" s="58">
        <f t="shared" si="818"/>
        <v>2098</v>
      </c>
      <c r="X567" s="102">
        <f t="shared" si="819"/>
        <v>55.616700000000002</v>
      </c>
      <c r="Y567" s="102">
        <f t="shared" si="820"/>
        <v>13</v>
      </c>
      <c r="Z567" s="21">
        <f t="shared" si="821"/>
        <v>8195</v>
      </c>
      <c r="AA567" s="44">
        <f t="shared" si="822"/>
        <v>0</v>
      </c>
      <c r="AB567" s="21">
        <f t="shared" si="899"/>
        <v>6</v>
      </c>
      <c r="AC567" s="119">
        <f>ROUND(I567+mwreg!$G$65/100,3)</f>
        <v>-0.315</v>
      </c>
      <c r="AD567" s="108">
        <f>ROUND(J567+mwreg!$G$65/100,3)</f>
        <v>0.78</v>
      </c>
      <c r="AE567" s="108">
        <f>ROUND(K567+mwreg!$G$65/100,3)</f>
        <v>0.122</v>
      </c>
      <c r="AF567" s="102">
        <f t="shared" si="825"/>
        <v>0.10929999999999999</v>
      </c>
      <c r="AG567" s="102">
        <f t="shared" si="826"/>
        <v>0.1024</v>
      </c>
      <c r="AH567" s="109">
        <f t="shared" si="827"/>
        <v>0.106</v>
      </c>
      <c r="AI567" s="110">
        <f t="shared" si="828"/>
        <v>180</v>
      </c>
      <c r="AJ567" s="110">
        <f t="shared" si="829"/>
        <v>60</v>
      </c>
      <c r="AK567" s="108">
        <f t="shared" si="830"/>
        <v>1E-3</v>
      </c>
      <c r="AL567" s="110">
        <f t="shared" si="831"/>
        <v>3</v>
      </c>
      <c r="AM567" s="110">
        <f t="shared" si="832"/>
        <v>1500</v>
      </c>
      <c r="AN567" s="108">
        <f t="shared" si="833"/>
        <v>0.1</v>
      </c>
      <c r="AO567" s="186" t="str">
        <f t="shared" si="868"/>
        <v>NaN</v>
      </c>
    </row>
    <row r="568" spans="1:41" x14ac:dyDescent="0.2">
      <c r="A568" s="3" t="s">
        <v>296</v>
      </c>
      <c r="B568" s="3" t="s">
        <v>296</v>
      </c>
      <c r="C568" s="52">
        <v>2098</v>
      </c>
      <c r="D568" s="105">
        <v>55.616700000000002</v>
      </c>
      <c r="E568" s="105">
        <v>13</v>
      </c>
      <c r="F568" s="20">
        <v>8195</v>
      </c>
      <c r="G568" s="18">
        <v>0</v>
      </c>
      <c r="H568" s="53">
        <v>7</v>
      </c>
      <c r="I568" s="121">
        <f t="shared" si="893"/>
        <v>-0.39300000000000002</v>
      </c>
      <c r="J568" s="101">
        <f t="shared" si="893"/>
        <v>0.69599999999999995</v>
      </c>
      <c r="K568" s="101">
        <f t="shared" si="893"/>
        <v>7.4999999999999997E-2</v>
      </c>
      <c r="L568" s="102">
        <f t="shared" si="896"/>
        <v>0.10879999999999999</v>
      </c>
      <c r="M568" s="102">
        <f t="shared" si="896"/>
        <v>8.6999999999999994E-2</v>
      </c>
      <c r="N568" s="102">
        <f t="shared" si="896"/>
        <v>9.0399999999999994E-2</v>
      </c>
      <c r="O568" s="21">
        <f t="shared" si="894"/>
        <v>180</v>
      </c>
      <c r="P568" s="21">
        <f t="shared" si="894"/>
        <v>60</v>
      </c>
      <c r="Q568" s="101">
        <f t="shared" si="897"/>
        <v>1E-3</v>
      </c>
      <c r="R568" s="21">
        <f t="shared" si="895"/>
        <v>3</v>
      </c>
      <c r="S568" s="21">
        <f t="shared" si="895"/>
        <v>1500</v>
      </c>
      <c r="T568" s="101">
        <f t="shared" si="898"/>
        <v>0.1</v>
      </c>
      <c r="U568" s="123" t="s">
        <v>282</v>
      </c>
      <c r="V568" s="21"/>
      <c r="W568" s="58">
        <f t="shared" si="818"/>
        <v>2098</v>
      </c>
      <c r="X568" s="102">
        <f t="shared" si="819"/>
        <v>55.616700000000002</v>
      </c>
      <c r="Y568" s="102">
        <f t="shared" si="820"/>
        <v>13</v>
      </c>
      <c r="Z568" s="21">
        <f t="shared" si="821"/>
        <v>8195</v>
      </c>
      <c r="AA568" s="44">
        <f t="shared" si="822"/>
        <v>0</v>
      </c>
      <c r="AB568" s="21">
        <f t="shared" si="899"/>
        <v>7</v>
      </c>
      <c r="AC568" s="119">
        <f>ROUND(I568+mwreg!$G$65/100,3)</f>
        <v>-0.26600000000000001</v>
      </c>
      <c r="AD568" s="108">
        <f>ROUND(J568+mwreg!$G$65/100,3)</f>
        <v>0.82299999999999995</v>
      </c>
      <c r="AE568" s="108">
        <f>ROUND(K568+mwreg!$G$65/100,3)</f>
        <v>0.20200000000000001</v>
      </c>
      <c r="AF568" s="102">
        <f t="shared" si="825"/>
        <v>0.10879999999999999</v>
      </c>
      <c r="AG568" s="102">
        <f t="shared" si="826"/>
        <v>8.6999999999999994E-2</v>
      </c>
      <c r="AH568" s="109">
        <f t="shared" si="827"/>
        <v>9.0399999999999994E-2</v>
      </c>
      <c r="AI568" s="110">
        <f t="shared" si="828"/>
        <v>180</v>
      </c>
      <c r="AJ568" s="110">
        <f t="shared" si="829"/>
        <v>60</v>
      </c>
      <c r="AK568" s="108">
        <f t="shared" si="830"/>
        <v>1E-3</v>
      </c>
      <c r="AL568" s="110">
        <f t="shared" si="831"/>
        <v>3</v>
      </c>
      <c r="AM568" s="110">
        <f t="shared" si="832"/>
        <v>1500</v>
      </c>
      <c r="AN568" s="108">
        <f t="shared" si="833"/>
        <v>0.1</v>
      </c>
      <c r="AO568" s="186" t="str">
        <f t="shared" si="868"/>
        <v>NaN</v>
      </c>
    </row>
    <row r="569" spans="1:41" x14ac:dyDescent="0.2">
      <c r="A569" s="3" t="s">
        <v>296</v>
      </c>
      <c r="B569" s="3" t="s">
        <v>296</v>
      </c>
      <c r="C569" s="52">
        <v>2098</v>
      </c>
      <c r="D569" s="105">
        <v>55.616700000000002</v>
      </c>
      <c r="E569" s="105">
        <v>13</v>
      </c>
      <c r="F569" s="20">
        <v>8195</v>
      </c>
      <c r="G569" s="18">
        <v>0</v>
      </c>
      <c r="H569" s="53">
        <v>8</v>
      </c>
      <c r="I569" s="121">
        <f t="shared" si="893"/>
        <v>-0.46500000000000002</v>
      </c>
      <c r="J569" s="101">
        <f t="shared" si="893"/>
        <v>0.72299999999999998</v>
      </c>
      <c r="K569" s="101">
        <f t="shared" si="893"/>
        <v>4.7E-2</v>
      </c>
      <c r="L569" s="102">
        <f t="shared" si="896"/>
        <v>0.1074</v>
      </c>
      <c r="M569" s="102">
        <f t="shared" si="896"/>
        <v>9.7900000000000001E-2</v>
      </c>
      <c r="N569" s="102">
        <f t="shared" si="896"/>
        <v>0.1014</v>
      </c>
      <c r="O569" s="21">
        <f t="shared" si="894"/>
        <v>180</v>
      </c>
      <c r="P569" s="21">
        <f t="shared" si="894"/>
        <v>60</v>
      </c>
      <c r="Q569" s="101">
        <f t="shared" si="897"/>
        <v>1E-3</v>
      </c>
      <c r="R569" s="21">
        <f t="shared" si="895"/>
        <v>3</v>
      </c>
      <c r="S569" s="21">
        <f t="shared" si="895"/>
        <v>1500</v>
      </c>
      <c r="T569" s="101">
        <f t="shared" si="898"/>
        <v>0.1</v>
      </c>
      <c r="U569" s="123" t="s">
        <v>282</v>
      </c>
      <c r="V569" s="21"/>
      <c r="W569" s="58">
        <f t="shared" si="818"/>
        <v>2098</v>
      </c>
      <c r="X569" s="102">
        <f t="shared" si="819"/>
        <v>55.616700000000002</v>
      </c>
      <c r="Y569" s="102">
        <f t="shared" si="820"/>
        <v>13</v>
      </c>
      <c r="Z569" s="21">
        <f t="shared" si="821"/>
        <v>8195</v>
      </c>
      <c r="AA569" s="44">
        <f t="shared" si="822"/>
        <v>0</v>
      </c>
      <c r="AB569" s="21">
        <f t="shared" si="899"/>
        <v>8</v>
      </c>
      <c r="AC569" s="119">
        <f>ROUND(I569+mwreg!$G$65/100,3)</f>
        <v>-0.33800000000000002</v>
      </c>
      <c r="AD569" s="108">
        <f>ROUND(J569+mwreg!$G$65/100,3)</f>
        <v>0.85</v>
      </c>
      <c r="AE569" s="108">
        <f>ROUND(K569+mwreg!$G$65/100,3)</f>
        <v>0.17399999999999999</v>
      </c>
      <c r="AF569" s="102">
        <f t="shared" si="825"/>
        <v>0.1074</v>
      </c>
      <c r="AG569" s="102">
        <f t="shared" si="826"/>
        <v>9.7900000000000001E-2</v>
      </c>
      <c r="AH569" s="109">
        <f t="shared" si="827"/>
        <v>0.1014</v>
      </c>
      <c r="AI569" s="110">
        <f t="shared" si="828"/>
        <v>180</v>
      </c>
      <c r="AJ569" s="110">
        <f t="shared" si="829"/>
        <v>60</v>
      </c>
      <c r="AK569" s="108">
        <f t="shared" si="830"/>
        <v>1E-3</v>
      </c>
      <c r="AL569" s="110">
        <f t="shared" si="831"/>
        <v>3</v>
      </c>
      <c r="AM569" s="110">
        <f t="shared" si="832"/>
        <v>1500</v>
      </c>
      <c r="AN569" s="108">
        <f t="shared" si="833"/>
        <v>0.1</v>
      </c>
      <c r="AO569" s="186" t="str">
        <f t="shared" si="868"/>
        <v>NaN</v>
      </c>
    </row>
    <row r="570" spans="1:41" x14ac:dyDescent="0.2">
      <c r="A570" s="3" t="s">
        <v>296</v>
      </c>
      <c r="B570" s="3" t="s">
        <v>296</v>
      </c>
      <c r="C570" s="52">
        <v>2098</v>
      </c>
      <c r="D570" s="105">
        <v>55.616700000000002</v>
      </c>
      <c r="E570" s="105">
        <v>13</v>
      </c>
      <c r="F570" s="20">
        <v>8195</v>
      </c>
      <c r="G570" s="18">
        <v>0</v>
      </c>
      <c r="H570" s="53">
        <v>9</v>
      </c>
      <c r="I570" s="121">
        <f t="shared" si="893"/>
        <v>-0.67700000000000005</v>
      </c>
      <c r="J570" s="101">
        <f t="shared" si="893"/>
        <v>0.98</v>
      </c>
      <c r="K570" s="101">
        <f t="shared" si="893"/>
        <v>0.08</v>
      </c>
      <c r="L570" s="102">
        <f t="shared" si="896"/>
        <v>0.14899999999999999</v>
      </c>
      <c r="M570" s="102">
        <f t="shared" si="896"/>
        <v>6.2399999999999997E-2</v>
      </c>
      <c r="N570" s="102">
        <f t="shared" si="896"/>
        <v>6.5600000000000006E-2</v>
      </c>
      <c r="O570" s="21">
        <f t="shared" si="894"/>
        <v>180</v>
      </c>
      <c r="P570" s="21">
        <f t="shared" si="894"/>
        <v>60</v>
      </c>
      <c r="Q570" s="101">
        <f t="shared" si="897"/>
        <v>1E-3</v>
      </c>
      <c r="R570" s="21">
        <f t="shared" si="895"/>
        <v>3</v>
      </c>
      <c r="S570" s="21">
        <f t="shared" si="895"/>
        <v>1500</v>
      </c>
      <c r="T570" s="101">
        <f t="shared" si="898"/>
        <v>0.1</v>
      </c>
      <c r="U570" s="123" t="s">
        <v>282</v>
      </c>
      <c r="V570" s="21"/>
      <c r="W570" s="58">
        <f t="shared" si="818"/>
        <v>2098</v>
      </c>
      <c r="X570" s="102">
        <f t="shared" si="819"/>
        <v>55.616700000000002</v>
      </c>
      <c r="Y570" s="102">
        <f t="shared" si="820"/>
        <v>13</v>
      </c>
      <c r="Z570" s="21">
        <f t="shared" si="821"/>
        <v>8195</v>
      </c>
      <c r="AA570" s="44">
        <f t="shared" si="822"/>
        <v>0</v>
      </c>
      <c r="AB570" s="21">
        <f t="shared" si="899"/>
        <v>9</v>
      </c>
      <c r="AC570" s="119">
        <f>ROUND(I570+mwreg!$G$65/100,3)</f>
        <v>-0.55000000000000004</v>
      </c>
      <c r="AD570" s="108">
        <f>ROUND(J570+mwreg!$G$65/100,3)</f>
        <v>1.107</v>
      </c>
      <c r="AE570" s="108">
        <f>ROUND(K570+mwreg!$G$65/100,3)</f>
        <v>0.20699999999999999</v>
      </c>
      <c r="AF570" s="102">
        <f t="shared" si="825"/>
        <v>0.14899999999999999</v>
      </c>
      <c r="AG570" s="102">
        <f t="shared" si="826"/>
        <v>6.2399999999999997E-2</v>
      </c>
      <c r="AH570" s="109">
        <f t="shared" si="827"/>
        <v>6.5600000000000006E-2</v>
      </c>
      <c r="AI570" s="110">
        <f t="shared" si="828"/>
        <v>180</v>
      </c>
      <c r="AJ570" s="110">
        <f t="shared" si="829"/>
        <v>60</v>
      </c>
      <c r="AK570" s="108">
        <f t="shared" si="830"/>
        <v>1E-3</v>
      </c>
      <c r="AL570" s="110">
        <f t="shared" si="831"/>
        <v>3</v>
      </c>
      <c r="AM570" s="110">
        <f t="shared" si="832"/>
        <v>1500</v>
      </c>
      <c r="AN570" s="108">
        <f t="shared" si="833"/>
        <v>0.1</v>
      </c>
      <c r="AO570" s="186" t="str">
        <f t="shared" si="868"/>
        <v>NaN</v>
      </c>
    </row>
    <row r="571" spans="1:41" x14ac:dyDescent="0.2">
      <c r="A571" s="3" t="s">
        <v>296</v>
      </c>
      <c r="B571" s="3" t="s">
        <v>296</v>
      </c>
      <c r="C571" s="52">
        <v>2098</v>
      </c>
      <c r="D571" s="105">
        <v>55.616700000000002</v>
      </c>
      <c r="E571" s="105">
        <v>13</v>
      </c>
      <c r="F571" s="20">
        <v>8195</v>
      </c>
      <c r="G571" s="18">
        <v>0</v>
      </c>
      <c r="H571" s="53">
        <v>10</v>
      </c>
      <c r="I571" s="121">
        <f t="shared" si="893"/>
        <v>-0.82</v>
      </c>
      <c r="J571" s="101">
        <f t="shared" si="893"/>
        <v>1.131</v>
      </c>
      <c r="K571" s="101">
        <f t="shared" si="893"/>
        <v>7.3999999999999996E-2</v>
      </c>
      <c r="L571" s="102">
        <f t="shared" si="896"/>
        <v>0.17660000000000001</v>
      </c>
      <c r="M571" s="102">
        <f t="shared" si="896"/>
        <v>6.4500000000000002E-2</v>
      </c>
      <c r="N571" s="102">
        <f t="shared" si="896"/>
        <v>6.7900000000000002E-2</v>
      </c>
      <c r="O571" s="21">
        <f t="shared" si="894"/>
        <v>180</v>
      </c>
      <c r="P571" s="21">
        <f t="shared" si="894"/>
        <v>60</v>
      </c>
      <c r="Q571" s="101">
        <f t="shared" si="897"/>
        <v>1E-3</v>
      </c>
      <c r="R571" s="21">
        <f t="shared" si="895"/>
        <v>3</v>
      </c>
      <c r="S571" s="21">
        <f t="shared" si="895"/>
        <v>1500</v>
      </c>
      <c r="T571" s="101">
        <f t="shared" si="898"/>
        <v>0.1</v>
      </c>
      <c r="U571" s="123" t="s">
        <v>282</v>
      </c>
      <c r="V571" s="21"/>
      <c r="W571" s="58">
        <f t="shared" si="818"/>
        <v>2098</v>
      </c>
      <c r="X571" s="102">
        <f t="shared" si="819"/>
        <v>55.616700000000002</v>
      </c>
      <c r="Y571" s="102">
        <f t="shared" si="820"/>
        <v>13</v>
      </c>
      <c r="Z571" s="21">
        <f t="shared" si="821"/>
        <v>8195</v>
      </c>
      <c r="AA571" s="44">
        <f t="shared" si="822"/>
        <v>0</v>
      </c>
      <c r="AB571" s="21">
        <f t="shared" si="899"/>
        <v>10</v>
      </c>
      <c r="AC571" s="119">
        <f>ROUND(I571+mwreg!$G$65/100,3)</f>
        <v>-0.69299999999999995</v>
      </c>
      <c r="AD571" s="108">
        <f>ROUND(J571+mwreg!$G$65/100,3)</f>
        <v>1.258</v>
      </c>
      <c r="AE571" s="108">
        <f>ROUND(K571+mwreg!$G$65/100,3)</f>
        <v>0.20100000000000001</v>
      </c>
      <c r="AF571" s="102">
        <f t="shared" si="825"/>
        <v>0.17660000000000001</v>
      </c>
      <c r="AG571" s="102">
        <f t="shared" si="826"/>
        <v>6.4500000000000002E-2</v>
      </c>
      <c r="AH571" s="109">
        <f t="shared" si="827"/>
        <v>6.7900000000000002E-2</v>
      </c>
      <c r="AI571" s="110">
        <f t="shared" si="828"/>
        <v>180</v>
      </c>
      <c r="AJ571" s="110">
        <f t="shared" si="829"/>
        <v>60</v>
      </c>
      <c r="AK571" s="108">
        <f t="shared" si="830"/>
        <v>1E-3</v>
      </c>
      <c r="AL571" s="110">
        <f t="shared" si="831"/>
        <v>3</v>
      </c>
      <c r="AM571" s="110">
        <f t="shared" si="832"/>
        <v>1500</v>
      </c>
      <c r="AN571" s="108">
        <f t="shared" si="833"/>
        <v>0.1</v>
      </c>
      <c r="AO571" s="186" t="str">
        <f t="shared" si="868"/>
        <v>NaN</v>
      </c>
    </row>
    <row r="572" spans="1:41" x14ac:dyDescent="0.2">
      <c r="A572" s="3" t="s">
        <v>296</v>
      </c>
      <c r="B572" s="3" t="s">
        <v>296</v>
      </c>
      <c r="C572" s="52">
        <v>2098</v>
      </c>
      <c r="D572" s="105">
        <v>55.616700000000002</v>
      </c>
      <c r="E572" s="105">
        <v>13</v>
      </c>
      <c r="F572" s="20">
        <v>8195</v>
      </c>
      <c r="G572" s="18">
        <v>0</v>
      </c>
      <c r="H572" s="53">
        <v>11</v>
      </c>
      <c r="I572" s="121">
        <f t="shared" si="893"/>
        <v>-0.96299999999999997</v>
      </c>
      <c r="J572" s="101">
        <f t="shared" si="893"/>
        <v>1.3280000000000001</v>
      </c>
      <c r="K572" s="101">
        <f t="shared" si="893"/>
        <v>3.7999999999999999E-2</v>
      </c>
      <c r="L572" s="102">
        <f t="shared" si="896"/>
        <v>0.20050000000000001</v>
      </c>
      <c r="M572" s="102">
        <f t="shared" si="896"/>
        <v>5.6899999999999999E-2</v>
      </c>
      <c r="N572" s="102">
        <f t="shared" si="896"/>
        <v>6.0400000000000002E-2</v>
      </c>
      <c r="O572" s="21">
        <f t="shared" si="894"/>
        <v>180</v>
      </c>
      <c r="P572" s="21">
        <f t="shared" si="894"/>
        <v>60</v>
      </c>
      <c r="Q572" s="101">
        <f t="shared" si="897"/>
        <v>1E-3</v>
      </c>
      <c r="R572" s="21">
        <f t="shared" si="895"/>
        <v>3</v>
      </c>
      <c r="S572" s="21">
        <f t="shared" si="895"/>
        <v>1500</v>
      </c>
      <c r="T572" s="101">
        <f t="shared" si="898"/>
        <v>0.1</v>
      </c>
      <c r="U572" s="123" t="s">
        <v>282</v>
      </c>
      <c r="V572" s="21"/>
      <c r="W572" s="58">
        <f t="shared" si="818"/>
        <v>2098</v>
      </c>
      <c r="X572" s="102">
        <f t="shared" si="819"/>
        <v>55.616700000000002</v>
      </c>
      <c r="Y572" s="102">
        <f t="shared" si="820"/>
        <v>13</v>
      </c>
      <c r="Z572" s="21">
        <f t="shared" si="821"/>
        <v>8195</v>
      </c>
      <c r="AA572" s="44">
        <f t="shared" si="822"/>
        <v>0</v>
      </c>
      <c r="AB572" s="21">
        <f t="shared" si="899"/>
        <v>11</v>
      </c>
      <c r="AC572" s="119">
        <f>ROUND(I572+mwreg!$G$65/100,3)</f>
        <v>-0.83599999999999997</v>
      </c>
      <c r="AD572" s="108">
        <f>ROUND(J572+mwreg!$G$65/100,3)</f>
        <v>1.4550000000000001</v>
      </c>
      <c r="AE572" s="108">
        <f>ROUND(K572+mwreg!$G$65/100,3)</f>
        <v>0.16500000000000001</v>
      </c>
      <c r="AF572" s="102">
        <f t="shared" si="825"/>
        <v>0.20050000000000001</v>
      </c>
      <c r="AG572" s="102">
        <f t="shared" si="826"/>
        <v>5.6899999999999999E-2</v>
      </c>
      <c r="AH572" s="109">
        <f t="shared" si="827"/>
        <v>6.0400000000000002E-2</v>
      </c>
      <c r="AI572" s="110">
        <f t="shared" si="828"/>
        <v>180</v>
      </c>
      <c r="AJ572" s="110">
        <f t="shared" si="829"/>
        <v>60</v>
      </c>
      <c r="AK572" s="108">
        <f t="shared" si="830"/>
        <v>1E-3</v>
      </c>
      <c r="AL572" s="110">
        <f t="shared" si="831"/>
        <v>3</v>
      </c>
      <c r="AM572" s="110">
        <f t="shared" si="832"/>
        <v>1500</v>
      </c>
      <c r="AN572" s="108">
        <f t="shared" si="833"/>
        <v>0.1</v>
      </c>
      <c r="AO572" s="186" t="str">
        <f t="shared" si="868"/>
        <v>NaN</v>
      </c>
    </row>
    <row r="573" spans="1:41" x14ac:dyDescent="0.2">
      <c r="A573" s="3" t="s">
        <v>296</v>
      </c>
      <c r="B573" s="3" t="s">
        <v>296</v>
      </c>
      <c r="C573" s="52">
        <v>2098</v>
      </c>
      <c r="D573" s="105">
        <v>55.616700000000002</v>
      </c>
      <c r="E573" s="105">
        <v>13</v>
      </c>
      <c r="F573" s="20">
        <v>8195</v>
      </c>
      <c r="G573" s="18">
        <v>0</v>
      </c>
      <c r="H573" s="53">
        <v>12</v>
      </c>
      <c r="I573" s="121">
        <f t="shared" si="893"/>
        <v>-0.89400000000000002</v>
      </c>
      <c r="J573" s="101">
        <f t="shared" si="893"/>
        <v>1.44</v>
      </c>
      <c r="K573" s="101">
        <f t="shared" si="893"/>
        <v>5.7000000000000002E-2</v>
      </c>
      <c r="L573" s="102">
        <f t="shared" si="896"/>
        <v>0.20599999999999999</v>
      </c>
      <c r="M573" s="102">
        <f t="shared" si="896"/>
        <v>6.1400000000000003E-2</v>
      </c>
      <c r="N573" s="102">
        <f t="shared" si="896"/>
        <v>6.4799999999999996E-2</v>
      </c>
      <c r="O573" s="21">
        <f t="shared" si="894"/>
        <v>180</v>
      </c>
      <c r="P573" s="21">
        <f t="shared" si="894"/>
        <v>60</v>
      </c>
      <c r="Q573" s="101">
        <f t="shared" si="897"/>
        <v>1E-3</v>
      </c>
      <c r="R573" s="21">
        <f t="shared" si="895"/>
        <v>3</v>
      </c>
      <c r="S573" s="21">
        <f t="shared" si="895"/>
        <v>1500</v>
      </c>
      <c r="T573" s="101">
        <f t="shared" si="898"/>
        <v>0.1</v>
      </c>
      <c r="U573" s="123" t="s">
        <v>282</v>
      </c>
      <c r="V573" s="21"/>
      <c r="W573" s="58">
        <f t="shared" si="818"/>
        <v>2098</v>
      </c>
      <c r="X573" s="102">
        <f t="shared" si="819"/>
        <v>55.616700000000002</v>
      </c>
      <c r="Y573" s="102">
        <f t="shared" si="820"/>
        <v>13</v>
      </c>
      <c r="Z573" s="21">
        <f t="shared" si="821"/>
        <v>8195</v>
      </c>
      <c r="AA573" s="44">
        <f t="shared" si="822"/>
        <v>0</v>
      </c>
      <c r="AB573" s="21">
        <f t="shared" si="899"/>
        <v>12</v>
      </c>
      <c r="AC573" s="119">
        <f>ROUND(I573+mwreg!$G$65/100,3)</f>
        <v>-0.76700000000000002</v>
      </c>
      <c r="AD573" s="108">
        <f>ROUND(J573+mwreg!$G$65/100,3)</f>
        <v>1.5669999999999999</v>
      </c>
      <c r="AE573" s="108">
        <f>ROUND(K573+mwreg!$G$65/100,3)</f>
        <v>0.184</v>
      </c>
      <c r="AF573" s="102">
        <f t="shared" si="825"/>
        <v>0.20599999999999999</v>
      </c>
      <c r="AG573" s="102">
        <f t="shared" si="826"/>
        <v>6.1400000000000003E-2</v>
      </c>
      <c r="AH573" s="109">
        <f t="shared" si="827"/>
        <v>6.4799999999999996E-2</v>
      </c>
      <c r="AI573" s="110">
        <f t="shared" si="828"/>
        <v>180</v>
      </c>
      <c r="AJ573" s="110">
        <f t="shared" si="829"/>
        <v>60</v>
      </c>
      <c r="AK573" s="108">
        <f t="shared" si="830"/>
        <v>1E-3</v>
      </c>
      <c r="AL573" s="110">
        <f t="shared" si="831"/>
        <v>3</v>
      </c>
      <c r="AM573" s="110">
        <f t="shared" si="832"/>
        <v>1500</v>
      </c>
      <c r="AN573" s="108">
        <f t="shared" si="833"/>
        <v>0.1</v>
      </c>
      <c r="AO573" s="186" t="str">
        <f t="shared" si="868"/>
        <v>NaN</v>
      </c>
    </row>
    <row r="574" spans="1:41" x14ac:dyDescent="0.2">
      <c r="A574" s="3" t="str">
        <f>stat_uppg!A56</f>
        <v>2099/33067</v>
      </c>
      <c r="B574" s="3" t="str">
        <f>stat_uppg!B56</f>
        <v>BARSEBÄCK (SMHI)</v>
      </c>
      <c r="C574" s="55">
        <v>2099</v>
      </c>
      <c r="D574" s="79">
        <v>55.756399999999999</v>
      </c>
      <c r="E574" s="79">
        <v>12.9033</v>
      </c>
      <c r="F574" s="14">
        <v>8195</v>
      </c>
      <c r="G574" s="10">
        <v>0</v>
      </c>
      <c r="H574" s="122">
        <v>1</v>
      </c>
      <c r="I574" s="165">
        <v>-0.96599999999999997</v>
      </c>
      <c r="J574" s="11">
        <v>1.256</v>
      </c>
      <c r="K574" s="11">
        <v>9.0999999999999998E-2</v>
      </c>
      <c r="L574" s="79">
        <v>0.2397</v>
      </c>
      <c r="M574" s="79">
        <v>9.3700000000000006E-2</v>
      </c>
      <c r="N574" s="79">
        <v>0.1</v>
      </c>
      <c r="O574" s="14">
        <v>180</v>
      </c>
      <c r="P574" s="14">
        <v>60</v>
      </c>
      <c r="Q574" s="11">
        <v>1E-3</v>
      </c>
      <c r="R574" s="14">
        <v>3</v>
      </c>
      <c r="S574" s="14">
        <v>1500</v>
      </c>
      <c r="T574" s="11">
        <v>0.1</v>
      </c>
      <c r="U574" s="122">
        <v>186281</v>
      </c>
      <c r="V574" s="35"/>
      <c r="W574" s="99">
        <f t="shared" si="818"/>
        <v>2099</v>
      </c>
      <c r="X574" s="100">
        <f t="shared" si="819"/>
        <v>55.756399999999999</v>
      </c>
      <c r="Y574" s="100">
        <f t="shared" si="820"/>
        <v>12.9033</v>
      </c>
      <c r="Z574" s="22">
        <f t="shared" si="821"/>
        <v>8195</v>
      </c>
      <c r="AA574" s="35">
        <f t="shared" si="822"/>
        <v>0</v>
      </c>
      <c r="AB574" s="22">
        <f t="shared" si="899"/>
        <v>1</v>
      </c>
      <c r="AC574" s="118">
        <f>ROUND(I574+mwreg!$G$66/100,3)</f>
        <v>-0.84299999999999997</v>
      </c>
      <c r="AD574" s="83">
        <f>ROUND(J574+mwreg!$G$66/100,3)</f>
        <v>1.379</v>
      </c>
      <c r="AE574" s="83">
        <f>ROUND(K574+mwreg!$G$66/100,3)</f>
        <v>0.214</v>
      </c>
      <c r="AF574" s="100">
        <f t="shared" si="825"/>
        <v>0.2397</v>
      </c>
      <c r="AG574" s="100">
        <f t="shared" si="826"/>
        <v>9.3700000000000006E-2</v>
      </c>
      <c r="AH574" s="84">
        <f t="shared" si="827"/>
        <v>0.1</v>
      </c>
      <c r="AI574" s="82">
        <f t="shared" si="828"/>
        <v>180</v>
      </c>
      <c r="AJ574" s="82">
        <f t="shared" si="829"/>
        <v>60</v>
      </c>
      <c r="AK574" s="83">
        <f t="shared" si="830"/>
        <v>1E-3</v>
      </c>
      <c r="AL574" s="82">
        <f t="shared" si="831"/>
        <v>3</v>
      </c>
      <c r="AM574" s="82">
        <f t="shared" si="832"/>
        <v>1500</v>
      </c>
      <c r="AN574" s="83">
        <f t="shared" si="833"/>
        <v>0.1</v>
      </c>
      <c r="AO574" s="188">
        <f t="shared" si="868"/>
        <v>186281</v>
      </c>
    </row>
    <row r="575" spans="1:41" x14ac:dyDescent="0.2">
      <c r="A575" s="3" t="s">
        <v>296</v>
      </c>
      <c r="B575" s="3" t="s">
        <v>296</v>
      </c>
      <c r="C575" s="55">
        <v>2099</v>
      </c>
      <c r="D575" s="79">
        <v>55.756399999999999</v>
      </c>
      <c r="E575" s="79">
        <v>12.9033</v>
      </c>
      <c r="F575" s="14">
        <v>8195</v>
      </c>
      <c r="G575" s="10">
        <v>0</v>
      </c>
      <c r="H575" s="122">
        <v>2</v>
      </c>
      <c r="I575" s="165">
        <v>-0.84699999999999998</v>
      </c>
      <c r="J575" s="11">
        <v>1.022</v>
      </c>
      <c r="K575" s="11">
        <v>2.9000000000000001E-2</v>
      </c>
      <c r="L575" s="79">
        <v>0.2288</v>
      </c>
      <c r="M575" s="79">
        <v>0.08</v>
      </c>
      <c r="N575" s="79">
        <v>8.5999999999999993E-2</v>
      </c>
      <c r="O575" s="14">
        <v>180</v>
      </c>
      <c r="P575" s="14">
        <v>60</v>
      </c>
      <c r="Q575" s="11">
        <v>1E-3</v>
      </c>
      <c r="R575" s="14">
        <v>3</v>
      </c>
      <c r="S575" s="14">
        <v>1500</v>
      </c>
      <c r="T575" s="11">
        <v>0.1</v>
      </c>
      <c r="U575" s="122">
        <v>168864</v>
      </c>
      <c r="V575" s="35"/>
      <c r="W575" s="99">
        <f t="shared" si="818"/>
        <v>2099</v>
      </c>
      <c r="X575" s="100">
        <f t="shared" si="819"/>
        <v>55.756399999999999</v>
      </c>
      <c r="Y575" s="100">
        <f t="shared" si="820"/>
        <v>12.9033</v>
      </c>
      <c r="Z575" s="22">
        <f t="shared" si="821"/>
        <v>8195</v>
      </c>
      <c r="AA575" s="35">
        <f t="shared" si="822"/>
        <v>0</v>
      </c>
      <c r="AB575" s="22">
        <f t="shared" si="899"/>
        <v>2</v>
      </c>
      <c r="AC575" s="118">
        <f>ROUND(I575+mwreg!$G$66/100,3)</f>
        <v>-0.72399999999999998</v>
      </c>
      <c r="AD575" s="83">
        <f>ROUND(J575+mwreg!$G$66/100,3)</f>
        <v>1.145</v>
      </c>
      <c r="AE575" s="83">
        <f>ROUND(K575+mwreg!$G$66/100,3)</f>
        <v>0.152</v>
      </c>
      <c r="AF575" s="100">
        <f t="shared" si="825"/>
        <v>0.2288</v>
      </c>
      <c r="AG575" s="100">
        <f t="shared" si="826"/>
        <v>0.08</v>
      </c>
      <c r="AH575" s="84">
        <f t="shared" si="827"/>
        <v>8.5999999999999993E-2</v>
      </c>
      <c r="AI575" s="82">
        <f t="shared" si="828"/>
        <v>180</v>
      </c>
      <c r="AJ575" s="82">
        <f t="shared" si="829"/>
        <v>60</v>
      </c>
      <c r="AK575" s="83">
        <f t="shared" si="830"/>
        <v>1E-3</v>
      </c>
      <c r="AL575" s="82">
        <f t="shared" si="831"/>
        <v>3</v>
      </c>
      <c r="AM575" s="82">
        <f t="shared" si="832"/>
        <v>1500</v>
      </c>
      <c r="AN575" s="83">
        <f t="shared" si="833"/>
        <v>0.1</v>
      </c>
      <c r="AO575" s="188">
        <f t="shared" si="868"/>
        <v>168864</v>
      </c>
    </row>
    <row r="576" spans="1:41" x14ac:dyDescent="0.2">
      <c r="A576" s="3" t="s">
        <v>296</v>
      </c>
      <c r="B576" s="3" t="s">
        <v>296</v>
      </c>
      <c r="C576" s="55">
        <v>2099</v>
      </c>
      <c r="D576" s="79">
        <v>55.756399999999999</v>
      </c>
      <c r="E576" s="79">
        <v>12.9033</v>
      </c>
      <c r="F576" s="14">
        <v>8195</v>
      </c>
      <c r="G576" s="10">
        <v>0</v>
      </c>
      <c r="H576" s="122">
        <v>3</v>
      </c>
      <c r="I576" s="165">
        <v>-0.83599999999999997</v>
      </c>
      <c r="J576" s="11">
        <v>1.1879999999999999</v>
      </c>
      <c r="K576" s="11">
        <v>-2E-3</v>
      </c>
      <c r="L576" s="79">
        <v>0.20080000000000001</v>
      </c>
      <c r="M576" s="79">
        <v>0.1147</v>
      </c>
      <c r="N576" s="79">
        <v>0.121</v>
      </c>
      <c r="O576" s="14">
        <v>180</v>
      </c>
      <c r="P576" s="14">
        <v>60</v>
      </c>
      <c r="Q576" s="11">
        <v>1E-3</v>
      </c>
      <c r="R576" s="14">
        <v>3</v>
      </c>
      <c r="S576" s="14">
        <v>1500</v>
      </c>
      <c r="T576" s="11">
        <v>0.1</v>
      </c>
      <c r="U576" s="122">
        <v>185032</v>
      </c>
      <c r="V576" s="35"/>
      <c r="W576" s="99">
        <f t="shared" si="818"/>
        <v>2099</v>
      </c>
      <c r="X576" s="100">
        <f t="shared" si="819"/>
        <v>55.756399999999999</v>
      </c>
      <c r="Y576" s="100">
        <f t="shared" si="820"/>
        <v>12.9033</v>
      </c>
      <c r="Z576" s="22">
        <f t="shared" si="821"/>
        <v>8195</v>
      </c>
      <c r="AA576" s="35">
        <f t="shared" si="822"/>
        <v>0</v>
      </c>
      <c r="AB576" s="22">
        <f t="shared" si="899"/>
        <v>3</v>
      </c>
      <c r="AC576" s="118">
        <f>ROUND(I576+mwreg!$G$66/100,3)</f>
        <v>-0.71299999999999997</v>
      </c>
      <c r="AD576" s="83">
        <f>ROUND(J576+mwreg!$G$66/100,3)</f>
        <v>1.3109999999999999</v>
      </c>
      <c r="AE576" s="83">
        <f>ROUND(K576+mwreg!$G$66/100,3)</f>
        <v>0.121</v>
      </c>
      <c r="AF576" s="100">
        <f t="shared" si="825"/>
        <v>0.20080000000000001</v>
      </c>
      <c r="AG576" s="100">
        <f t="shared" si="826"/>
        <v>0.1147</v>
      </c>
      <c r="AH576" s="84">
        <f t="shared" si="827"/>
        <v>0.121</v>
      </c>
      <c r="AI576" s="82">
        <f t="shared" si="828"/>
        <v>180</v>
      </c>
      <c r="AJ576" s="82">
        <f t="shared" si="829"/>
        <v>60</v>
      </c>
      <c r="AK576" s="83">
        <f t="shared" si="830"/>
        <v>1E-3</v>
      </c>
      <c r="AL576" s="82">
        <f t="shared" si="831"/>
        <v>3</v>
      </c>
      <c r="AM576" s="82">
        <f t="shared" si="832"/>
        <v>1500</v>
      </c>
      <c r="AN576" s="83">
        <f t="shared" si="833"/>
        <v>0.1</v>
      </c>
      <c r="AO576" s="188">
        <f t="shared" si="868"/>
        <v>185032</v>
      </c>
    </row>
    <row r="577" spans="1:41" x14ac:dyDescent="0.2">
      <c r="A577" s="3" t="s">
        <v>296</v>
      </c>
      <c r="B577" s="3" t="s">
        <v>296</v>
      </c>
      <c r="C577" s="55">
        <v>2099</v>
      </c>
      <c r="D577" s="79">
        <v>55.756399999999999</v>
      </c>
      <c r="E577" s="79">
        <v>12.9033</v>
      </c>
      <c r="F577" s="14">
        <v>8195</v>
      </c>
      <c r="G577" s="10">
        <v>0</v>
      </c>
      <c r="H577" s="122">
        <v>4</v>
      </c>
      <c r="I577" s="165">
        <v>-0.57899999999999996</v>
      </c>
      <c r="J577" s="11">
        <v>0.94299999999999995</v>
      </c>
      <c r="K577" s="11">
        <v>-6.0999999999999999E-2</v>
      </c>
      <c r="L577" s="79">
        <v>0.1391</v>
      </c>
      <c r="M577" s="79">
        <v>0.1782</v>
      </c>
      <c r="N577" s="79">
        <v>0.185</v>
      </c>
      <c r="O577" s="14">
        <v>180</v>
      </c>
      <c r="P577" s="14">
        <v>60</v>
      </c>
      <c r="Q577" s="11">
        <v>1E-3</v>
      </c>
      <c r="R577" s="14">
        <v>3</v>
      </c>
      <c r="S577" s="14">
        <v>1500</v>
      </c>
      <c r="T577" s="11">
        <v>0.1</v>
      </c>
      <c r="U577" s="122">
        <v>180257</v>
      </c>
      <c r="V577" s="35"/>
      <c r="W577" s="99">
        <f t="shared" si="818"/>
        <v>2099</v>
      </c>
      <c r="X577" s="100">
        <f t="shared" si="819"/>
        <v>55.756399999999999</v>
      </c>
      <c r="Y577" s="100">
        <f t="shared" si="820"/>
        <v>12.9033</v>
      </c>
      <c r="Z577" s="22">
        <f t="shared" si="821"/>
        <v>8195</v>
      </c>
      <c r="AA577" s="35">
        <f t="shared" si="822"/>
        <v>0</v>
      </c>
      <c r="AB577" s="22">
        <f t="shared" si="899"/>
        <v>4</v>
      </c>
      <c r="AC577" s="118">
        <f>ROUND(I577+mwreg!$G$66/100,3)</f>
        <v>-0.45600000000000002</v>
      </c>
      <c r="AD577" s="83">
        <f>ROUND(J577+mwreg!$G$66/100,3)</f>
        <v>1.0660000000000001</v>
      </c>
      <c r="AE577" s="83">
        <f>ROUND(K577+mwreg!$G$66/100,3)</f>
        <v>6.2E-2</v>
      </c>
      <c r="AF577" s="100">
        <f t="shared" si="825"/>
        <v>0.1391</v>
      </c>
      <c r="AG577" s="100">
        <f t="shared" si="826"/>
        <v>0.1782</v>
      </c>
      <c r="AH577" s="84">
        <f t="shared" si="827"/>
        <v>0.185</v>
      </c>
      <c r="AI577" s="82">
        <f t="shared" si="828"/>
        <v>180</v>
      </c>
      <c r="AJ577" s="82">
        <f t="shared" si="829"/>
        <v>60</v>
      </c>
      <c r="AK577" s="83">
        <f t="shared" si="830"/>
        <v>1E-3</v>
      </c>
      <c r="AL577" s="82">
        <f t="shared" si="831"/>
        <v>3</v>
      </c>
      <c r="AM577" s="82">
        <f t="shared" si="832"/>
        <v>1500</v>
      </c>
      <c r="AN577" s="83">
        <f t="shared" si="833"/>
        <v>0.1</v>
      </c>
      <c r="AO577" s="188">
        <f t="shared" si="868"/>
        <v>180257</v>
      </c>
    </row>
    <row r="578" spans="1:41" x14ac:dyDescent="0.2">
      <c r="A578" s="3" t="s">
        <v>296</v>
      </c>
      <c r="B578" s="3" t="s">
        <v>296</v>
      </c>
      <c r="C578" s="55">
        <v>2099</v>
      </c>
      <c r="D578" s="79">
        <v>55.756399999999999</v>
      </c>
      <c r="E578" s="79">
        <v>12.9033</v>
      </c>
      <c r="F578" s="14">
        <v>8195</v>
      </c>
      <c r="G578" s="10">
        <v>0</v>
      </c>
      <c r="H578" s="122">
        <v>5</v>
      </c>
      <c r="I578" s="165">
        <v>-0.52500000000000002</v>
      </c>
      <c r="J578" s="11">
        <v>0.502</v>
      </c>
      <c r="K578" s="11">
        <v>-3.2000000000000001E-2</v>
      </c>
      <c r="L578" s="79">
        <v>0.11360000000000001</v>
      </c>
      <c r="M578" s="79">
        <v>0.16689999999999999</v>
      </c>
      <c r="N578" s="79">
        <v>0.17299999999999999</v>
      </c>
      <c r="O578" s="14">
        <v>180</v>
      </c>
      <c r="P578" s="14">
        <v>60</v>
      </c>
      <c r="Q578" s="11">
        <v>1E-3</v>
      </c>
      <c r="R578" s="14">
        <v>3</v>
      </c>
      <c r="S578" s="14">
        <v>1500</v>
      </c>
      <c r="T578" s="11">
        <v>0.1</v>
      </c>
      <c r="U578" s="122">
        <v>187850</v>
      </c>
      <c r="V578" s="35"/>
      <c r="W578" s="99">
        <f t="shared" ref="W578:W641" si="900">C578</f>
        <v>2099</v>
      </c>
      <c r="X578" s="100">
        <f t="shared" ref="X578:X641" si="901">D578</f>
        <v>55.756399999999999</v>
      </c>
      <c r="Y578" s="100">
        <f t="shared" ref="Y578:Y641" si="902">E578</f>
        <v>12.9033</v>
      </c>
      <c r="Z578" s="22">
        <f t="shared" ref="Z578:Z641" si="903">F578</f>
        <v>8195</v>
      </c>
      <c r="AA578" s="35">
        <f t="shared" ref="AA578:AA641" si="904">G578</f>
        <v>0</v>
      </c>
      <c r="AB578" s="22">
        <f t="shared" si="899"/>
        <v>5</v>
      </c>
      <c r="AC578" s="118">
        <f>ROUND(I578+mwreg!$G$66/100,3)</f>
        <v>-0.40200000000000002</v>
      </c>
      <c r="AD578" s="83">
        <f>ROUND(J578+mwreg!$G$66/100,3)</f>
        <v>0.625</v>
      </c>
      <c r="AE578" s="83">
        <f>ROUND(K578+mwreg!$G$66/100,3)</f>
        <v>9.0999999999999998E-2</v>
      </c>
      <c r="AF578" s="100">
        <f t="shared" si="825"/>
        <v>0.11360000000000001</v>
      </c>
      <c r="AG578" s="100">
        <f t="shared" si="826"/>
        <v>0.16689999999999999</v>
      </c>
      <c r="AH578" s="84">
        <f t="shared" si="827"/>
        <v>0.17299999999999999</v>
      </c>
      <c r="AI578" s="82">
        <f t="shared" si="828"/>
        <v>180</v>
      </c>
      <c r="AJ578" s="82">
        <f t="shared" si="829"/>
        <v>60</v>
      </c>
      <c r="AK578" s="83">
        <f t="shared" si="830"/>
        <v>1E-3</v>
      </c>
      <c r="AL578" s="82">
        <f t="shared" si="831"/>
        <v>3</v>
      </c>
      <c r="AM578" s="82">
        <f t="shared" si="832"/>
        <v>1500</v>
      </c>
      <c r="AN578" s="83">
        <f t="shared" si="833"/>
        <v>0.1</v>
      </c>
      <c r="AO578" s="188">
        <f t="shared" si="868"/>
        <v>187850</v>
      </c>
    </row>
    <row r="579" spans="1:41" x14ac:dyDescent="0.2">
      <c r="A579" s="3" t="s">
        <v>296</v>
      </c>
      <c r="B579" s="3" t="s">
        <v>296</v>
      </c>
      <c r="C579" s="55">
        <v>2099</v>
      </c>
      <c r="D579" s="79">
        <v>55.756399999999999</v>
      </c>
      <c r="E579" s="79">
        <v>12.9033</v>
      </c>
      <c r="F579" s="14">
        <v>8195</v>
      </c>
      <c r="G579" s="10">
        <v>0</v>
      </c>
      <c r="H579" s="122">
        <v>6</v>
      </c>
      <c r="I579" s="165">
        <v>-0.38600000000000001</v>
      </c>
      <c r="J579" s="11">
        <v>0.65500000000000003</v>
      </c>
      <c r="K579" s="11">
        <v>-8.0000000000000002E-3</v>
      </c>
      <c r="L579" s="79">
        <v>0.10199999999999999</v>
      </c>
      <c r="M579" s="79">
        <v>0.1598</v>
      </c>
      <c r="N579" s="79">
        <v>0.16600000000000001</v>
      </c>
      <c r="O579" s="14">
        <v>180</v>
      </c>
      <c r="P579" s="14">
        <v>60</v>
      </c>
      <c r="Q579" s="11">
        <v>1E-3</v>
      </c>
      <c r="R579" s="14">
        <v>3</v>
      </c>
      <c r="S579" s="14">
        <v>1500</v>
      </c>
      <c r="T579" s="11">
        <v>0.1</v>
      </c>
      <c r="U579" s="122">
        <v>181914</v>
      </c>
      <c r="V579" s="35"/>
      <c r="W579" s="99">
        <f t="shared" si="900"/>
        <v>2099</v>
      </c>
      <c r="X579" s="100">
        <f t="shared" si="901"/>
        <v>55.756399999999999</v>
      </c>
      <c r="Y579" s="100">
        <f t="shared" si="902"/>
        <v>12.9033</v>
      </c>
      <c r="Z579" s="22">
        <f t="shared" si="903"/>
        <v>8195</v>
      </c>
      <c r="AA579" s="35">
        <f t="shared" si="904"/>
        <v>0</v>
      </c>
      <c r="AB579" s="22">
        <f t="shared" si="899"/>
        <v>6</v>
      </c>
      <c r="AC579" s="118">
        <f>ROUND(I579+mwreg!$G$66/100,3)</f>
        <v>-0.26300000000000001</v>
      </c>
      <c r="AD579" s="83">
        <f>ROUND(J579+mwreg!$G$66/100,3)</f>
        <v>0.77800000000000002</v>
      </c>
      <c r="AE579" s="83">
        <f>ROUND(K579+mwreg!$G$66/100,3)</f>
        <v>0.115</v>
      </c>
      <c r="AF579" s="100">
        <f t="shared" si="825"/>
        <v>0.10199999999999999</v>
      </c>
      <c r="AG579" s="100">
        <f t="shared" si="826"/>
        <v>0.1598</v>
      </c>
      <c r="AH579" s="84">
        <f t="shared" si="827"/>
        <v>0.16600000000000001</v>
      </c>
      <c r="AI579" s="82">
        <f t="shared" si="828"/>
        <v>180</v>
      </c>
      <c r="AJ579" s="82">
        <f t="shared" si="829"/>
        <v>60</v>
      </c>
      <c r="AK579" s="83">
        <f t="shared" si="830"/>
        <v>1E-3</v>
      </c>
      <c r="AL579" s="82">
        <f t="shared" si="831"/>
        <v>3</v>
      </c>
      <c r="AM579" s="82">
        <f t="shared" si="832"/>
        <v>1500</v>
      </c>
      <c r="AN579" s="83">
        <f t="shared" si="833"/>
        <v>0.1</v>
      </c>
      <c r="AO579" s="188">
        <f t="shared" si="868"/>
        <v>181914</v>
      </c>
    </row>
    <row r="580" spans="1:41" x14ac:dyDescent="0.2">
      <c r="A580" s="3" t="s">
        <v>296</v>
      </c>
      <c r="B580" s="3" t="s">
        <v>296</v>
      </c>
      <c r="C580" s="55">
        <v>2099</v>
      </c>
      <c r="D580" s="79">
        <v>55.756399999999999</v>
      </c>
      <c r="E580" s="79">
        <v>12.9033</v>
      </c>
      <c r="F580" s="14">
        <v>8195</v>
      </c>
      <c r="G580" s="10">
        <v>0</v>
      </c>
      <c r="H580" s="122">
        <v>7</v>
      </c>
      <c r="I580" s="165">
        <v>-0.31</v>
      </c>
      <c r="J580" s="11">
        <v>0.60399999999999998</v>
      </c>
      <c r="K580" s="11">
        <v>7.8E-2</v>
      </c>
      <c r="L580" s="79">
        <v>0.1042</v>
      </c>
      <c r="M580" s="79">
        <v>0.13120000000000001</v>
      </c>
      <c r="N580" s="79">
        <v>0.13700000000000001</v>
      </c>
      <c r="O580" s="14">
        <v>180</v>
      </c>
      <c r="P580" s="14">
        <v>60</v>
      </c>
      <c r="Q580" s="11">
        <v>1E-3</v>
      </c>
      <c r="R580" s="14">
        <v>3</v>
      </c>
      <c r="S580" s="14">
        <v>1500</v>
      </c>
      <c r="T580" s="11">
        <v>0.1</v>
      </c>
      <c r="U580" s="122">
        <v>189302</v>
      </c>
      <c r="V580" s="35"/>
      <c r="W580" s="99">
        <f t="shared" si="900"/>
        <v>2099</v>
      </c>
      <c r="X580" s="100">
        <f t="shared" si="901"/>
        <v>55.756399999999999</v>
      </c>
      <c r="Y580" s="100">
        <f t="shared" si="902"/>
        <v>12.9033</v>
      </c>
      <c r="Z580" s="22">
        <f t="shared" si="903"/>
        <v>8195</v>
      </c>
      <c r="AA580" s="35">
        <f t="shared" si="904"/>
        <v>0</v>
      </c>
      <c r="AB580" s="22">
        <f t="shared" si="899"/>
        <v>7</v>
      </c>
      <c r="AC580" s="118">
        <f>ROUND(I580+mwreg!$G$66/100,3)</f>
        <v>-0.187</v>
      </c>
      <c r="AD580" s="83">
        <f>ROUND(J580+mwreg!$G$66/100,3)</f>
        <v>0.72699999999999998</v>
      </c>
      <c r="AE580" s="83">
        <f>ROUND(K580+mwreg!$G$66/100,3)</f>
        <v>0.20100000000000001</v>
      </c>
      <c r="AF580" s="100">
        <f t="shared" si="825"/>
        <v>0.1042</v>
      </c>
      <c r="AG580" s="100">
        <f t="shared" si="826"/>
        <v>0.13120000000000001</v>
      </c>
      <c r="AH580" s="84">
        <f t="shared" si="827"/>
        <v>0.13700000000000001</v>
      </c>
      <c r="AI580" s="82">
        <f t="shared" si="828"/>
        <v>180</v>
      </c>
      <c r="AJ580" s="82">
        <f t="shared" si="829"/>
        <v>60</v>
      </c>
      <c r="AK580" s="83">
        <f t="shared" si="830"/>
        <v>1E-3</v>
      </c>
      <c r="AL580" s="82">
        <f t="shared" si="831"/>
        <v>3</v>
      </c>
      <c r="AM580" s="82">
        <f t="shared" si="832"/>
        <v>1500</v>
      </c>
      <c r="AN580" s="83">
        <f t="shared" si="833"/>
        <v>0.1</v>
      </c>
      <c r="AO580" s="188">
        <f t="shared" si="868"/>
        <v>189302</v>
      </c>
    </row>
    <row r="581" spans="1:41" x14ac:dyDescent="0.2">
      <c r="A581" s="3" t="s">
        <v>296</v>
      </c>
      <c r="B581" s="3" t="s">
        <v>296</v>
      </c>
      <c r="C581" s="55">
        <v>2099</v>
      </c>
      <c r="D581" s="79">
        <v>55.756399999999999</v>
      </c>
      <c r="E581" s="79">
        <v>12.9033</v>
      </c>
      <c r="F581" s="14">
        <v>8195</v>
      </c>
      <c r="G581" s="10">
        <v>0</v>
      </c>
      <c r="H581" s="122">
        <v>8</v>
      </c>
      <c r="I581" s="165">
        <v>-0.39500000000000002</v>
      </c>
      <c r="J581" s="11">
        <v>0.80200000000000005</v>
      </c>
      <c r="K581" s="11">
        <v>4.4999999999999998E-2</v>
      </c>
      <c r="L581" s="79">
        <v>9.8299999999999998E-2</v>
      </c>
      <c r="M581" s="79">
        <v>0.14599999999999999</v>
      </c>
      <c r="N581" s="79">
        <v>0.152</v>
      </c>
      <c r="O581" s="14">
        <v>180</v>
      </c>
      <c r="P581" s="14">
        <v>60</v>
      </c>
      <c r="Q581" s="11">
        <v>1E-3</v>
      </c>
      <c r="R581" s="14">
        <v>3</v>
      </c>
      <c r="S581" s="14">
        <v>1500</v>
      </c>
      <c r="T581" s="11">
        <v>0.1</v>
      </c>
      <c r="U581" s="122">
        <v>189693</v>
      </c>
      <c r="V581" s="35"/>
      <c r="W581" s="99">
        <f t="shared" si="900"/>
        <v>2099</v>
      </c>
      <c r="X581" s="100">
        <f t="shared" si="901"/>
        <v>55.756399999999999</v>
      </c>
      <c r="Y581" s="100">
        <f t="shared" si="902"/>
        <v>12.9033</v>
      </c>
      <c r="Z581" s="22">
        <f t="shared" si="903"/>
        <v>8195</v>
      </c>
      <c r="AA581" s="35">
        <f t="shared" si="904"/>
        <v>0</v>
      </c>
      <c r="AB581" s="22">
        <f t="shared" si="899"/>
        <v>8</v>
      </c>
      <c r="AC581" s="118">
        <f>ROUND(I581+mwreg!$G$66/100,3)</f>
        <v>-0.27200000000000002</v>
      </c>
      <c r="AD581" s="83">
        <f>ROUND(J581+mwreg!$G$66/100,3)</f>
        <v>0.92500000000000004</v>
      </c>
      <c r="AE581" s="83">
        <f>ROUND(K581+mwreg!$G$66/100,3)</f>
        <v>0.16800000000000001</v>
      </c>
      <c r="AF581" s="100">
        <f t="shared" si="825"/>
        <v>9.8299999999999998E-2</v>
      </c>
      <c r="AG581" s="100">
        <f t="shared" si="826"/>
        <v>0.14599999999999999</v>
      </c>
      <c r="AH581" s="84">
        <f t="shared" si="827"/>
        <v>0.152</v>
      </c>
      <c r="AI581" s="82">
        <f t="shared" si="828"/>
        <v>180</v>
      </c>
      <c r="AJ581" s="82">
        <f t="shared" si="829"/>
        <v>60</v>
      </c>
      <c r="AK581" s="83">
        <f t="shared" si="830"/>
        <v>1E-3</v>
      </c>
      <c r="AL581" s="82">
        <f t="shared" si="831"/>
        <v>3</v>
      </c>
      <c r="AM581" s="82">
        <f t="shared" si="832"/>
        <v>1500</v>
      </c>
      <c r="AN581" s="83">
        <f t="shared" si="833"/>
        <v>0.1</v>
      </c>
      <c r="AO581" s="188">
        <f t="shared" si="868"/>
        <v>189693</v>
      </c>
    </row>
    <row r="582" spans="1:41" x14ac:dyDescent="0.2">
      <c r="A582" s="3" t="s">
        <v>296</v>
      </c>
      <c r="B582" s="3" t="s">
        <v>296</v>
      </c>
      <c r="C582" s="55">
        <v>2099</v>
      </c>
      <c r="D582" s="79">
        <v>55.756399999999999</v>
      </c>
      <c r="E582" s="79">
        <v>12.9033</v>
      </c>
      <c r="F582" s="14">
        <v>8195</v>
      </c>
      <c r="G582" s="10">
        <v>0</v>
      </c>
      <c r="H582" s="122">
        <v>9</v>
      </c>
      <c r="I582" s="165">
        <v>-0.53700000000000003</v>
      </c>
      <c r="J582" s="11">
        <v>0.87</v>
      </c>
      <c r="K582" s="11">
        <v>9.1999999999999998E-2</v>
      </c>
      <c r="L582" s="79">
        <v>0.14280000000000001</v>
      </c>
      <c r="M582" s="79">
        <v>7.5700000000000003E-2</v>
      </c>
      <c r="N582" s="79">
        <v>8.1000000000000003E-2</v>
      </c>
      <c r="O582" s="14">
        <v>180</v>
      </c>
      <c r="P582" s="14">
        <v>60</v>
      </c>
      <c r="Q582" s="11">
        <v>1E-3</v>
      </c>
      <c r="R582" s="14">
        <v>3</v>
      </c>
      <c r="S582" s="14">
        <v>1500</v>
      </c>
      <c r="T582" s="11">
        <v>0.1</v>
      </c>
      <c r="U582" s="122">
        <v>205878</v>
      </c>
      <c r="V582" s="35"/>
      <c r="W582" s="99">
        <f t="shared" si="900"/>
        <v>2099</v>
      </c>
      <c r="X582" s="100">
        <f t="shared" si="901"/>
        <v>55.756399999999999</v>
      </c>
      <c r="Y582" s="100">
        <f t="shared" si="902"/>
        <v>12.9033</v>
      </c>
      <c r="Z582" s="22">
        <f t="shared" si="903"/>
        <v>8195</v>
      </c>
      <c r="AA582" s="35">
        <f t="shared" si="904"/>
        <v>0</v>
      </c>
      <c r="AB582" s="22">
        <f t="shared" si="899"/>
        <v>9</v>
      </c>
      <c r="AC582" s="118">
        <f>ROUND(I582+mwreg!$G$66/100,3)</f>
        <v>-0.41399999999999998</v>
      </c>
      <c r="AD582" s="83">
        <f>ROUND(J582+mwreg!$G$66/100,3)</f>
        <v>0.99299999999999999</v>
      </c>
      <c r="AE582" s="83">
        <f>ROUND(K582+mwreg!$G$66/100,3)</f>
        <v>0.215</v>
      </c>
      <c r="AF582" s="100">
        <f t="shared" si="825"/>
        <v>0.14280000000000001</v>
      </c>
      <c r="AG582" s="100">
        <f t="shared" si="826"/>
        <v>7.5700000000000003E-2</v>
      </c>
      <c r="AH582" s="84">
        <f t="shared" si="827"/>
        <v>8.1000000000000003E-2</v>
      </c>
      <c r="AI582" s="82">
        <f t="shared" si="828"/>
        <v>180</v>
      </c>
      <c r="AJ582" s="82">
        <f t="shared" si="829"/>
        <v>60</v>
      </c>
      <c r="AK582" s="83">
        <f t="shared" si="830"/>
        <v>1E-3</v>
      </c>
      <c r="AL582" s="82">
        <f t="shared" si="831"/>
        <v>3</v>
      </c>
      <c r="AM582" s="82">
        <f t="shared" si="832"/>
        <v>1500</v>
      </c>
      <c r="AN582" s="83">
        <f t="shared" si="833"/>
        <v>0.1</v>
      </c>
      <c r="AO582" s="188">
        <f t="shared" si="868"/>
        <v>205878</v>
      </c>
    </row>
    <row r="583" spans="1:41" x14ac:dyDescent="0.2">
      <c r="A583" s="3" t="s">
        <v>296</v>
      </c>
      <c r="B583" s="3" t="s">
        <v>296</v>
      </c>
      <c r="C583" s="55">
        <v>2099</v>
      </c>
      <c r="D583" s="79">
        <v>55.756399999999999</v>
      </c>
      <c r="E583" s="79">
        <v>12.9033</v>
      </c>
      <c r="F583" s="14">
        <v>8195</v>
      </c>
      <c r="G583" s="10">
        <v>0</v>
      </c>
      <c r="H583" s="122">
        <v>10</v>
      </c>
      <c r="I583" s="165">
        <v>-0.66400000000000003</v>
      </c>
      <c r="J583" s="11">
        <v>1.0129999999999999</v>
      </c>
      <c r="K583" s="11">
        <v>6.8000000000000005E-2</v>
      </c>
      <c r="L583" s="79">
        <v>0.1623</v>
      </c>
      <c r="M583" s="79">
        <v>0.1075</v>
      </c>
      <c r="N583" s="79">
        <v>0.113</v>
      </c>
      <c r="O583" s="14">
        <v>180</v>
      </c>
      <c r="P583" s="14">
        <v>60</v>
      </c>
      <c r="Q583" s="11">
        <v>1E-3</v>
      </c>
      <c r="R583" s="14">
        <v>3</v>
      </c>
      <c r="S583" s="14">
        <v>1500</v>
      </c>
      <c r="T583" s="11">
        <v>0.1</v>
      </c>
      <c r="U583" s="122">
        <v>231568</v>
      </c>
      <c r="V583" s="35"/>
      <c r="W583" s="99">
        <f t="shared" si="900"/>
        <v>2099</v>
      </c>
      <c r="X583" s="100">
        <f t="shared" si="901"/>
        <v>55.756399999999999</v>
      </c>
      <c r="Y583" s="100">
        <f t="shared" si="902"/>
        <v>12.9033</v>
      </c>
      <c r="Z583" s="22">
        <f t="shared" si="903"/>
        <v>8195</v>
      </c>
      <c r="AA583" s="35">
        <f t="shared" si="904"/>
        <v>0</v>
      </c>
      <c r="AB583" s="22">
        <f t="shared" si="899"/>
        <v>10</v>
      </c>
      <c r="AC583" s="118">
        <f>ROUND(I583+mwreg!$G$66/100,3)</f>
        <v>-0.54100000000000004</v>
      </c>
      <c r="AD583" s="83">
        <f>ROUND(J583+mwreg!$G$66/100,3)</f>
        <v>1.1359999999999999</v>
      </c>
      <c r="AE583" s="83">
        <f>ROUND(K583+mwreg!$G$66/100,3)</f>
        <v>0.191</v>
      </c>
      <c r="AF583" s="100">
        <f t="shared" si="825"/>
        <v>0.1623</v>
      </c>
      <c r="AG583" s="100">
        <f t="shared" si="826"/>
        <v>0.1075</v>
      </c>
      <c r="AH583" s="84">
        <f t="shared" si="827"/>
        <v>0.113</v>
      </c>
      <c r="AI583" s="82">
        <f t="shared" si="828"/>
        <v>180</v>
      </c>
      <c r="AJ583" s="82">
        <f t="shared" si="829"/>
        <v>60</v>
      </c>
      <c r="AK583" s="83">
        <f t="shared" si="830"/>
        <v>1E-3</v>
      </c>
      <c r="AL583" s="82">
        <f t="shared" si="831"/>
        <v>3</v>
      </c>
      <c r="AM583" s="82">
        <f t="shared" si="832"/>
        <v>1500</v>
      </c>
      <c r="AN583" s="83">
        <f t="shared" si="833"/>
        <v>0.1</v>
      </c>
      <c r="AO583" s="188">
        <f t="shared" si="868"/>
        <v>231568</v>
      </c>
    </row>
    <row r="584" spans="1:41" x14ac:dyDescent="0.2">
      <c r="A584" s="3" t="s">
        <v>296</v>
      </c>
      <c r="B584" s="3" t="s">
        <v>296</v>
      </c>
      <c r="C584" s="55">
        <v>2099</v>
      </c>
      <c r="D584" s="79">
        <v>55.756399999999999</v>
      </c>
      <c r="E584" s="79">
        <v>12.9033</v>
      </c>
      <c r="F584" s="14">
        <v>8195</v>
      </c>
      <c r="G584" s="10">
        <v>0</v>
      </c>
      <c r="H584" s="122">
        <v>11</v>
      </c>
      <c r="I584" s="165">
        <v>-0.97399999999999998</v>
      </c>
      <c r="J584" s="11">
        <v>1.3580000000000001</v>
      </c>
      <c r="K584" s="11">
        <v>3.2000000000000001E-2</v>
      </c>
      <c r="L584" s="79">
        <v>0.19570000000000001</v>
      </c>
      <c r="M584" s="79">
        <v>6.1400000000000003E-2</v>
      </c>
      <c r="N584" s="79">
        <v>6.7000000000000004E-2</v>
      </c>
      <c r="O584" s="14">
        <v>180</v>
      </c>
      <c r="P584" s="14">
        <v>60</v>
      </c>
      <c r="Q584" s="11">
        <v>1E-3</v>
      </c>
      <c r="R584" s="14">
        <v>3</v>
      </c>
      <c r="S584" s="14">
        <v>1500</v>
      </c>
      <c r="T584" s="11">
        <v>0.1</v>
      </c>
      <c r="U584" s="122">
        <v>221203</v>
      </c>
      <c r="V584" s="35"/>
      <c r="W584" s="99">
        <f t="shared" si="900"/>
        <v>2099</v>
      </c>
      <c r="X584" s="100">
        <f t="shared" si="901"/>
        <v>55.756399999999999</v>
      </c>
      <c r="Y584" s="100">
        <f t="shared" si="902"/>
        <v>12.9033</v>
      </c>
      <c r="Z584" s="22">
        <f t="shared" si="903"/>
        <v>8195</v>
      </c>
      <c r="AA584" s="35">
        <f t="shared" si="904"/>
        <v>0</v>
      </c>
      <c r="AB584" s="22">
        <f t="shared" si="899"/>
        <v>11</v>
      </c>
      <c r="AC584" s="118">
        <f>ROUND(I584+mwreg!$G$66/100,3)</f>
        <v>-0.85099999999999998</v>
      </c>
      <c r="AD584" s="83">
        <f>ROUND(J584+mwreg!$G$66/100,3)</f>
        <v>1.4810000000000001</v>
      </c>
      <c r="AE584" s="83">
        <f>ROUND(K584+mwreg!$G$66/100,3)</f>
        <v>0.155</v>
      </c>
      <c r="AF584" s="100">
        <f t="shared" si="825"/>
        <v>0.19570000000000001</v>
      </c>
      <c r="AG584" s="100">
        <f t="shared" si="826"/>
        <v>6.1400000000000003E-2</v>
      </c>
      <c r="AH584" s="84">
        <f t="shared" si="827"/>
        <v>6.7000000000000004E-2</v>
      </c>
      <c r="AI584" s="82">
        <f t="shared" si="828"/>
        <v>180</v>
      </c>
      <c r="AJ584" s="82">
        <f t="shared" si="829"/>
        <v>60</v>
      </c>
      <c r="AK584" s="83">
        <f t="shared" si="830"/>
        <v>1E-3</v>
      </c>
      <c r="AL584" s="82">
        <f t="shared" si="831"/>
        <v>3</v>
      </c>
      <c r="AM584" s="82">
        <f t="shared" si="832"/>
        <v>1500</v>
      </c>
      <c r="AN584" s="83">
        <f t="shared" si="833"/>
        <v>0.1</v>
      </c>
      <c r="AO584" s="188">
        <f t="shared" si="868"/>
        <v>221203</v>
      </c>
    </row>
    <row r="585" spans="1:41" x14ac:dyDescent="0.2">
      <c r="A585" s="3" t="s">
        <v>296</v>
      </c>
      <c r="B585" s="3" t="s">
        <v>296</v>
      </c>
      <c r="C585" s="55">
        <v>2099</v>
      </c>
      <c r="D585" s="79">
        <v>55.756399999999999</v>
      </c>
      <c r="E585" s="79">
        <v>12.9033</v>
      </c>
      <c r="F585" s="14">
        <v>8195</v>
      </c>
      <c r="G585" s="10">
        <v>0</v>
      </c>
      <c r="H585" s="122">
        <v>12</v>
      </c>
      <c r="I585" s="165">
        <v>-0.84</v>
      </c>
      <c r="J585" s="11">
        <v>1.5860000000000001</v>
      </c>
      <c r="K585" s="11">
        <v>6.6000000000000003E-2</v>
      </c>
      <c r="L585" s="79">
        <v>0.19739999999999999</v>
      </c>
      <c r="M585" s="79">
        <v>8.0299999999999996E-2</v>
      </c>
      <c r="N585" s="79">
        <v>8.5999999999999993E-2</v>
      </c>
      <c r="O585" s="14">
        <v>180</v>
      </c>
      <c r="P585" s="14">
        <v>60</v>
      </c>
      <c r="Q585" s="11">
        <v>1E-3</v>
      </c>
      <c r="R585" s="14">
        <v>3</v>
      </c>
      <c r="S585" s="14">
        <v>1500</v>
      </c>
      <c r="T585" s="11">
        <v>0.1</v>
      </c>
      <c r="U585" s="122">
        <v>188944</v>
      </c>
      <c r="V585" s="35"/>
      <c r="W585" s="99">
        <f t="shared" si="900"/>
        <v>2099</v>
      </c>
      <c r="X585" s="100">
        <f t="shared" si="901"/>
        <v>55.756399999999999</v>
      </c>
      <c r="Y585" s="100">
        <f t="shared" si="902"/>
        <v>12.9033</v>
      </c>
      <c r="Z585" s="22">
        <f t="shared" si="903"/>
        <v>8195</v>
      </c>
      <c r="AA585" s="35">
        <f t="shared" si="904"/>
        <v>0</v>
      </c>
      <c r="AB585" s="22">
        <f t="shared" si="899"/>
        <v>12</v>
      </c>
      <c r="AC585" s="118">
        <f>ROUND(I585+mwreg!$G$66/100,3)</f>
        <v>-0.71699999999999997</v>
      </c>
      <c r="AD585" s="83">
        <f>ROUND(J585+mwreg!$G$66/100,3)</f>
        <v>1.7090000000000001</v>
      </c>
      <c r="AE585" s="83">
        <f>ROUND(K585+mwreg!$G$66/100,3)</f>
        <v>0.189</v>
      </c>
      <c r="AF585" s="100">
        <f t="shared" si="825"/>
        <v>0.19739999999999999</v>
      </c>
      <c r="AG585" s="100">
        <f t="shared" si="826"/>
        <v>8.0299999999999996E-2</v>
      </c>
      <c r="AH585" s="84">
        <f t="shared" si="827"/>
        <v>8.5999999999999993E-2</v>
      </c>
      <c r="AI585" s="82">
        <f t="shared" si="828"/>
        <v>180</v>
      </c>
      <c r="AJ585" s="82">
        <f t="shared" si="829"/>
        <v>60</v>
      </c>
      <c r="AK585" s="83">
        <f t="shared" si="830"/>
        <v>1E-3</v>
      </c>
      <c r="AL585" s="82">
        <f t="shared" si="831"/>
        <v>3</v>
      </c>
      <c r="AM585" s="82">
        <f t="shared" si="832"/>
        <v>1500</v>
      </c>
      <c r="AN585" s="83">
        <f t="shared" si="833"/>
        <v>0.1</v>
      </c>
      <c r="AO585" s="188">
        <f t="shared" si="868"/>
        <v>188944</v>
      </c>
    </row>
    <row r="586" spans="1:41" x14ac:dyDescent="0.2">
      <c r="A586" s="3" t="str">
        <f>stat_uppg!A57</f>
        <v>45/35110</v>
      </c>
      <c r="B586" s="3" t="str">
        <f>stat_uppg!B57</f>
        <v>HELSINGBORG (SJÖV)</v>
      </c>
      <c r="C586" s="52">
        <v>35110</v>
      </c>
      <c r="D586" s="105">
        <v>56.041200000000003</v>
      </c>
      <c r="E586" s="105">
        <v>12.6845</v>
      </c>
      <c r="F586" s="20">
        <v>8195</v>
      </c>
      <c r="G586" s="18">
        <v>0</v>
      </c>
      <c r="H586" s="53">
        <v>1</v>
      </c>
      <c r="I586" s="167">
        <f t="shared" ref="I586:K597" si="905">ROUND(0.248*I574+0.752*I598,3)</f>
        <v>-1.103</v>
      </c>
      <c r="J586" s="104">
        <f t="shared" si="905"/>
        <v>1.4419999999999999</v>
      </c>
      <c r="K586" s="104">
        <f t="shared" si="905"/>
        <v>7.4999999999999997E-2</v>
      </c>
      <c r="L586" s="105">
        <f>ROUND(0.248*L574+0.752*L598,4)</f>
        <v>0.26319999999999999</v>
      </c>
      <c r="M586" s="105">
        <f>ROUND(0.248*M574+0.752*M598,4)</f>
        <v>9.1399999999999995E-2</v>
      </c>
      <c r="N586" s="105">
        <f>ROUND(0.248*N574+0.752*N598,4)</f>
        <v>9.8500000000000004E-2</v>
      </c>
      <c r="O586" s="20">
        <f t="shared" ref="O586:P597" si="906">ROUND(0.248*O574+0.752*O598,0)</f>
        <v>180</v>
      </c>
      <c r="P586" s="20">
        <f t="shared" si="906"/>
        <v>60</v>
      </c>
      <c r="Q586" s="104">
        <f>ROUND(0.248*Q574+0.752*Q598,3)</f>
        <v>1E-3</v>
      </c>
      <c r="R586" s="20">
        <f t="shared" ref="R586:S597" si="907">ROUND(0.248*R574+0.752*R598,0)</f>
        <v>3</v>
      </c>
      <c r="S586" s="20">
        <f t="shared" si="907"/>
        <v>1500</v>
      </c>
      <c r="T586" s="104">
        <f>ROUND(0.248*T574+0.752*T598,3)</f>
        <v>0.1</v>
      </c>
      <c r="U586" s="123" t="s">
        <v>282</v>
      </c>
      <c r="V586" s="21"/>
      <c r="W586" s="58">
        <f t="shared" si="900"/>
        <v>35110</v>
      </c>
      <c r="X586" s="102">
        <f t="shared" si="901"/>
        <v>56.041200000000003</v>
      </c>
      <c r="Y586" s="102">
        <f t="shared" si="902"/>
        <v>12.6845</v>
      </c>
      <c r="Z586" s="21">
        <f t="shared" si="903"/>
        <v>8195</v>
      </c>
      <c r="AA586" s="44">
        <f t="shared" si="904"/>
        <v>0</v>
      </c>
      <c r="AB586" s="21">
        <f t="shared" si="899"/>
        <v>1</v>
      </c>
      <c r="AC586" s="119">
        <f>ROUND(I586+mwreg!$G$67/100,3)</f>
        <v>-1.0109999999999999</v>
      </c>
      <c r="AD586" s="108">
        <f>ROUND(J586+mwreg!$G$67/100,3)</f>
        <v>1.534</v>
      </c>
      <c r="AE586" s="108">
        <f>ROUND(K586+mwreg!$G$67/100,3)</f>
        <v>0.16700000000000001</v>
      </c>
      <c r="AF586" s="102">
        <f t="shared" si="825"/>
        <v>0.26319999999999999</v>
      </c>
      <c r="AG586" s="102">
        <f t="shared" si="826"/>
        <v>9.1399999999999995E-2</v>
      </c>
      <c r="AH586" s="109">
        <f t="shared" si="827"/>
        <v>9.8500000000000004E-2</v>
      </c>
      <c r="AI586" s="110">
        <f t="shared" si="828"/>
        <v>180</v>
      </c>
      <c r="AJ586" s="110">
        <f t="shared" si="829"/>
        <v>60</v>
      </c>
      <c r="AK586" s="108">
        <f t="shared" si="830"/>
        <v>1E-3</v>
      </c>
      <c r="AL586" s="110">
        <f t="shared" si="831"/>
        <v>3</v>
      </c>
      <c r="AM586" s="110">
        <f t="shared" si="832"/>
        <v>1500</v>
      </c>
      <c r="AN586" s="108">
        <f t="shared" si="833"/>
        <v>0.1</v>
      </c>
      <c r="AO586" s="186" t="str">
        <f t="shared" si="868"/>
        <v>NaN</v>
      </c>
    </row>
    <row r="587" spans="1:41" x14ac:dyDescent="0.2">
      <c r="A587" s="3" t="s">
        <v>296</v>
      </c>
      <c r="B587" s="3" t="s">
        <v>296</v>
      </c>
      <c r="C587" s="52">
        <v>35110</v>
      </c>
      <c r="D587" s="105">
        <v>56.041200000000003</v>
      </c>
      <c r="E587" s="105">
        <v>12.6845</v>
      </c>
      <c r="F587" s="20">
        <v>8195</v>
      </c>
      <c r="G587" s="18">
        <v>0</v>
      </c>
      <c r="H587" s="53">
        <v>2</v>
      </c>
      <c r="I587" s="167">
        <f t="shared" si="905"/>
        <v>-0.92200000000000004</v>
      </c>
      <c r="J587" s="104">
        <f t="shared" si="905"/>
        <v>1.1870000000000001</v>
      </c>
      <c r="K587" s="104">
        <f t="shared" si="905"/>
        <v>1.7000000000000001E-2</v>
      </c>
      <c r="L587" s="105">
        <f t="shared" ref="L587:N597" si="908">ROUND(0.248*L575+0.752*L599,4)</f>
        <v>0.24809999999999999</v>
      </c>
      <c r="M587" s="105">
        <f t="shared" si="908"/>
        <v>0.1802</v>
      </c>
      <c r="N587" s="105">
        <f t="shared" si="908"/>
        <v>0.18679999999999999</v>
      </c>
      <c r="O587" s="20">
        <f t="shared" si="906"/>
        <v>180</v>
      </c>
      <c r="P587" s="20">
        <f t="shared" si="906"/>
        <v>60</v>
      </c>
      <c r="Q587" s="104">
        <f t="shared" ref="Q587:Q597" si="909">ROUND(0.248*Q575+0.752*Q599,3)</f>
        <v>1E-3</v>
      </c>
      <c r="R587" s="20">
        <f t="shared" si="907"/>
        <v>3</v>
      </c>
      <c r="S587" s="20">
        <f t="shared" si="907"/>
        <v>1500</v>
      </c>
      <c r="T587" s="104">
        <f t="shared" ref="T587:T597" si="910">ROUND(0.248*T575+0.752*T599,3)</f>
        <v>0.1</v>
      </c>
      <c r="U587" s="123" t="s">
        <v>282</v>
      </c>
      <c r="V587" s="21"/>
      <c r="W587" s="58">
        <f t="shared" si="900"/>
        <v>35110</v>
      </c>
      <c r="X587" s="102">
        <f t="shared" si="901"/>
        <v>56.041200000000003</v>
      </c>
      <c r="Y587" s="102">
        <f t="shared" si="902"/>
        <v>12.6845</v>
      </c>
      <c r="Z587" s="21">
        <f t="shared" si="903"/>
        <v>8195</v>
      </c>
      <c r="AA587" s="44">
        <f t="shared" si="904"/>
        <v>0</v>
      </c>
      <c r="AB587" s="21">
        <f t="shared" si="899"/>
        <v>2</v>
      </c>
      <c r="AC587" s="119">
        <f>ROUND(I587+mwreg!$G$67/100,3)</f>
        <v>-0.83</v>
      </c>
      <c r="AD587" s="108">
        <f>ROUND(J587+mwreg!$G$67/100,3)</f>
        <v>1.2789999999999999</v>
      </c>
      <c r="AE587" s="108">
        <f>ROUND(K587+mwreg!$G$67/100,3)</f>
        <v>0.109</v>
      </c>
      <c r="AF587" s="102">
        <f t="shared" si="825"/>
        <v>0.24809999999999999</v>
      </c>
      <c r="AG587" s="102">
        <f t="shared" si="826"/>
        <v>0.1802</v>
      </c>
      <c r="AH587" s="109">
        <f t="shared" si="827"/>
        <v>0.18679999999999999</v>
      </c>
      <c r="AI587" s="110">
        <f t="shared" si="828"/>
        <v>180</v>
      </c>
      <c r="AJ587" s="110">
        <f t="shared" si="829"/>
        <v>60</v>
      </c>
      <c r="AK587" s="108">
        <f t="shared" si="830"/>
        <v>1E-3</v>
      </c>
      <c r="AL587" s="110">
        <f t="shared" si="831"/>
        <v>3</v>
      </c>
      <c r="AM587" s="110">
        <f t="shared" si="832"/>
        <v>1500</v>
      </c>
      <c r="AN587" s="108">
        <f t="shared" si="833"/>
        <v>0.1</v>
      </c>
      <c r="AO587" s="186" t="str">
        <f t="shared" si="868"/>
        <v>NaN</v>
      </c>
    </row>
    <row r="588" spans="1:41" x14ac:dyDescent="0.2">
      <c r="A588" s="3" t="s">
        <v>296</v>
      </c>
      <c r="B588" s="3" t="s">
        <v>296</v>
      </c>
      <c r="C588" s="52">
        <v>35110</v>
      </c>
      <c r="D588" s="105">
        <v>56.041200000000003</v>
      </c>
      <c r="E588" s="105">
        <v>12.6845</v>
      </c>
      <c r="F588" s="20">
        <v>8195</v>
      </c>
      <c r="G588" s="18">
        <v>0</v>
      </c>
      <c r="H588" s="53">
        <v>3</v>
      </c>
      <c r="I588" s="167">
        <f t="shared" si="905"/>
        <v>-0.88900000000000001</v>
      </c>
      <c r="J588" s="104">
        <f t="shared" si="905"/>
        <v>1.3120000000000001</v>
      </c>
      <c r="K588" s="104">
        <f t="shared" si="905"/>
        <v>-2.1999999999999999E-2</v>
      </c>
      <c r="L588" s="105">
        <f t="shared" si="908"/>
        <v>0.21629999999999999</v>
      </c>
      <c r="M588" s="105">
        <f t="shared" si="908"/>
        <v>0.11409999999999999</v>
      </c>
      <c r="N588" s="105">
        <f t="shared" si="908"/>
        <v>0.1202</v>
      </c>
      <c r="O588" s="20">
        <f t="shared" si="906"/>
        <v>180</v>
      </c>
      <c r="P588" s="20">
        <f t="shared" si="906"/>
        <v>60</v>
      </c>
      <c r="Q588" s="104">
        <f t="shared" si="909"/>
        <v>1E-3</v>
      </c>
      <c r="R588" s="20">
        <f t="shared" si="907"/>
        <v>3</v>
      </c>
      <c r="S588" s="20">
        <f t="shared" si="907"/>
        <v>1500</v>
      </c>
      <c r="T588" s="104">
        <f t="shared" si="910"/>
        <v>0.1</v>
      </c>
      <c r="U588" s="123" t="s">
        <v>282</v>
      </c>
      <c r="V588" s="21"/>
      <c r="W588" s="58">
        <f t="shared" si="900"/>
        <v>35110</v>
      </c>
      <c r="X588" s="102">
        <f t="shared" si="901"/>
        <v>56.041200000000003</v>
      </c>
      <c r="Y588" s="102">
        <f t="shared" si="902"/>
        <v>12.6845</v>
      </c>
      <c r="Z588" s="21">
        <f t="shared" si="903"/>
        <v>8195</v>
      </c>
      <c r="AA588" s="44">
        <f t="shared" si="904"/>
        <v>0</v>
      </c>
      <c r="AB588" s="21">
        <f t="shared" si="899"/>
        <v>3</v>
      </c>
      <c r="AC588" s="119">
        <f>ROUND(I588+mwreg!$G$67/100,3)</f>
        <v>-0.79700000000000004</v>
      </c>
      <c r="AD588" s="108">
        <f>ROUND(J588+mwreg!$G$67/100,3)</f>
        <v>1.4039999999999999</v>
      </c>
      <c r="AE588" s="108">
        <f>ROUND(K588+mwreg!$G$67/100,3)</f>
        <v>7.0000000000000007E-2</v>
      </c>
      <c r="AF588" s="102">
        <f t="shared" si="825"/>
        <v>0.21629999999999999</v>
      </c>
      <c r="AG588" s="102">
        <f t="shared" si="826"/>
        <v>0.11409999999999999</v>
      </c>
      <c r="AH588" s="109">
        <f t="shared" si="827"/>
        <v>0.1202</v>
      </c>
      <c r="AI588" s="110">
        <f t="shared" si="828"/>
        <v>180</v>
      </c>
      <c r="AJ588" s="110">
        <f t="shared" si="829"/>
        <v>60</v>
      </c>
      <c r="AK588" s="108">
        <f t="shared" si="830"/>
        <v>1E-3</v>
      </c>
      <c r="AL588" s="110">
        <f t="shared" si="831"/>
        <v>3</v>
      </c>
      <c r="AM588" s="110">
        <f t="shared" si="832"/>
        <v>1500</v>
      </c>
      <c r="AN588" s="108">
        <f t="shared" si="833"/>
        <v>0.1</v>
      </c>
      <c r="AO588" s="186" t="str">
        <f t="shared" si="868"/>
        <v>NaN</v>
      </c>
    </row>
    <row r="589" spans="1:41" x14ac:dyDescent="0.2">
      <c r="A589" s="3" t="s">
        <v>296</v>
      </c>
      <c r="B589" s="3" t="s">
        <v>296</v>
      </c>
      <c r="C589" s="52">
        <v>35110</v>
      </c>
      <c r="D589" s="105">
        <v>56.041200000000003</v>
      </c>
      <c r="E589" s="105">
        <v>12.6845</v>
      </c>
      <c r="F589" s="20">
        <v>8195</v>
      </c>
      <c r="G589" s="18">
        <v>0</v>
      </c>
      <c r="H589" s="53">
        <v>4</v>
      </c>
      <c r="I589" s="167">
        <f t="shared" si="905"/>
        <v>-0.76500000000000001</v>
      </c>
      <c r="J589" s="104">
        <f t="shared" si="905"/>
        <v>0.93400000000000005</v>
      </c>
      <c r="K589" s="104">
        <f t="shared" si="905"/>
        <v>-7.4999999999999997E-2</v>
      </c>
      <c r="L589" s="105">
        <f t="shared" si="908"/>
        <v>0.15440000000000001</v>
      </c>
      <c r="M589" s="105">
        <f t="shared" si="908"/>
        <v>0.23130000000000001</v>
      </c>
      <c r="N589" s="105">
        <f t="shared" si="908"/>
        <v>0.23760000000000001</v>
      </c>
      <c r="O589" s="20">
        <f t="shared" si="906"/>
        <v>180</v>
      </c>
      <c r="P589" s="20">
        <f t="shared" si="906"/>
        <v>60</v>
      </c>
      <c r="Q589" s="104">
        <f t="shared" si="909"/>
        <v>1E-3</v>
      </c>
      <c r="R589" s="20">
        <f t="shared" si="907"/>
        <v>3</v>
      </c>
      <c r="S589" s="20">
        <f t="shared" si="907"/>
        <v>1500</v>
      </c>
      <c r="T589" s="104">
        <f t="shared" si="910"/>
        <v>0.1</v>
      </c>
      <c r="U589" s="123" t="s">
        <v>282</v>
      </c>
      <c r="V589" s="21"/>
      <c r="W589" s="58">
        <f t="shared" si="900"/>
        <v>35110</v>
      </c>
      <c r="X589" s="102">
        <f t="shared" si="901"/>
        <v>56.041200000000003</v>
      </c>
      <c r="Y589" s="102">
        <f t="shared" si="902"/>
        <v>12.6845</v>
      </c>
      <c r="Z589" s="21">
        <f t="shared" si="903"/>
        <v>8195</v>
      </c>
      <c r="AA589" s="44">
        <f t="shared" si="904"/>
        <v>0</v>
      </c>
      <c r="AB589" s="21">
        <f t="shared" si="899"/>
        <v>4</v>
      </c>
      <c r="AC589" s="119">
        <f>ROUND(I589+mwreg!$G$67/100,3)</f>
        <v>-0.67300000000000004</v>
      </c>
      <c r="AD589" s="108">
        <f>ROUND(J589+mwreg!$G$67/100,3)</f>
        <v>1.026</v>
      </c>
      <c r="AE589" s="108">
        <f>ROUND(K589+mwreg!$G$67/100,3)</f>
        <v>1.7000000000000001E-2</v>
      </c>
      <c r="AF589" s="102">
        <f t="shared" si="825"/>
        <v>0.15440000000000001</v>
      </c>
      <c r="AG589" s="102">
        <f t="shared" si="826"/>
        <v>0.23130000000000001</v>
      </c>
      <c r="AH589" s="109">
        <f t="shared" si="827"/>
        <v>0.23760000000000001</v>
      </c>
      <c r="AI589" s="110">
        <f t="shared" si="828"/>
        <v>180</v>
      </c>
      <c r="AJ589" s="110">
        <f t="shared" si="829"/>
        <v>60</v>
      </c>
      <c r="AK589" s="108">
        <f t="shared" si="830"/>
        <v>1E-3</v>
      </c>
      <c r="AL589" s="110">
        <f t="shared" si="831"/>
        <v>3</v>
      </c>
      <c r="AM589" s="110">
        <f t="shared" si="832"/>
        <v>1500</v>
      </c>
      <c r="AN589" s="108">
        <f t="shared" si="833"/>
        <v>0.1</v>
      </c>
      <c r="AO589" s="186" t="str">
        <f t="shared" si="868"/>
        <v>NaN</v>
      </c>
    </row>
    <row r="590" spans="1:41" x14ac:dyDescent="0.2">
      <c r="A590" s="3" t="s">
        <v>296</v>
      </c>
      <c r="B590" s="3" t="s">
        <v>296</v>
      </c>
      <c r="C590" s="52">
        <v>35110</v>
      </c>
      <c r="D590" s="105">
        <v>56.041200000000003</v>
      </c>
      <c r="E590" s="105">
        <v>12.6845</v>
      </c>
      <c r="F590" s="20">
        <v>8195</v>
      </c>
      <c r="G590" s="18">
        <v>0</v>
      </c>
      <c r="H590" s="53">
        <v>5</v>
      </c>
      <c r="I590" s="167">
        <f t="shared" si="905"/>
        <v>-0.55700000000000005</v>
      </c>
      <c r="J590" s="104">
        <f t="shared" si="905"/>
        <v>0.55300000000000005</v>
      </c>
      <c r="K590" s="104">
        <f t="shared" si="905"/>
        <v>-3.4000000000000002E-2</v>
      </c>
      <c r="L590" s="105">
        <f t="shared" si="908"/>
        <v>0.12920000000000001</v>
      </c>
      <c r="M590" s="105">
        <f t="shared" si="908"/>
        <v>0.12280000000000001</v>
      </c>
      <c r="N590" s="105">
        <f t="shared" si="908"/>
        <v>0.12859999999999999</v>
      </c>
      <c r="O590" s="20">
        <f t="shared" si="906"/>
        <v>180</v>
      </c>
      <c r="P590" s="20">
        <f t="shared" si="906"/>
        <v>60</v>
      </c>
      <c r="Q590" s="104">
        <f t="shared" si="909"/>
        <v>1E-3</v>
      </c>
      <c r="R590" s="20">
        <f t="shared" si="907"/>
        <v>3</v>
      </c>
      <c r="S590" s="20">
        <f t="shared" si="907"/>
        <v>1500</v>
      </c>
      <c r="T590" s="104">
        <f t="shared" si="910"/>
        <v>0.1</v>
      </c>
      <c r="U590" s="123" t="s">
        <v>282</v>
      </c>
      <c r="V590" s="21"/>
      <c r="W590" s="58">
        <f t="shared" si="900"/>
        <v>35110</v>
      </c>
      <c r="X590" s="102">
        <f t="shared" si="901"/>
        <v>56.041200000000003</v>
      </c>
      <c r="Y590" s="102">
        <f t="shared" si="902"/>
        <v>12.6845</v>
      </c>
      <c r="Z590" s="21">
        <f t="shared" si="903"/>
        <v>8195</v>
      </c>
      <c r="AA590" s="44">
        <f t="shared" si="904"/>
        <v>0</v>
      </c>
      <c r="AB590" s="21">
        <f t="shared" si="899"/>
        <v>5</v>
      </c>
      <c r="AC590" s="119">
        <f>ROUND(I590+mwreg!$G$67/100,3)</f>
        <v>-0.46500000000000002</v>
      </c>
      <c r="AD590" s="108">
        <f>ROUND(J590+mwreg!$G$67/100,3)</f>
        <v>0.64500000000000002</v>
      </c>
      <c r="AE590" s="108">
        <f>ROUND(K590+mwreg!$G$67/100,3)</f>
        <v>5.8000000000000003E-2</v>
      </c>
      <c r="AF590" s="102">
        <f t="shared" ref="AF590:AF609" si="911">L590</f>
        <v>0.12920000000000001</v>
      </c>
      <c r="AG590" s="102">
        <f t="shared" ref="AG590:AG609" si="912">M590</f>
        <v>0.12280000000000001</v>
      </c>
      <c r="AH590" s="109">
        <f t="shared" ref="AH590:AH653" si="913">N590</f>
        <v>0.12859999999999999</v>
      </c>
      <c r="AI590" s="110">
        <f t="shared" ref="AI590:AI653" si="914">O590</f>
        <v>180</v>
      </c>
      <c r="AJ590" s="110">
        <f t="shared" ref="AJ590:AJ653" si="915">P590</f>
        <v>60</v>
      </c>
      <c r="AK590" s="108">
        <f t="shared" ref="AK590:AK653" si="916">Q590</f>
        <v>1E-3</v>
      </c>
      <c r="AL590" s="110">
        <f t="shared" ref="AL590:AL653" si="917">R590</f>
        <v>3</v>
      </c>
      <c r="AM590" s="110">
        <f t="shared" ref="AM590:AM653" si="918">S590</f>
        <v>1500</v>
      </c>
      <c r="AN590" s="108">
        <f t="shared" ref="AN590:AN653" si="919">T590</f>
        <v>0.1</v>
      </c>
      <c r="AO590" s="186" t="str">
        <f t="shared" si="868"/>
        <v>NaN</v>
      </c>
    </row>
    <row r="591" spans="1:41" x14ac:dyDescent="0.2">
      <c r="A591" s="3" t="s">
        <v>296</v>
      </c>
      <c r="B591" s="3" t="s">
        <v>296</v>
      </c>
      <c r="C591" s="52">
        <v>35110</v>
      </c>
      <c r="D591" s="105">
        <v>56.041200000000003</v>
      </c>
      <c r="E591" s="105">
        <v>12.6845</v>
      </c>
      <c r="F591" s="20">
        <v>8195</v>
      </c>
      <c r="G591" s="18">
        <v>0</v>
      </c>
      <c r="H591" s="53">
        <v>6</v>
      </c>
      <c r="I591" s="167">
        <f t="shared" si="905"/>
        <v>-0.46200000000000002</v>
      </c>
      <c r="J591" s="104">
        <f t="shared" si="905"/>
        <v>0.65700000000000003</v>
      </c>
      <c r="K591" s="104">
        <f t="shared" si="905"/>
        <v>-5.0000000000000001E-3</v>
      </c>
      <c r="L591" s="105">
        <f t="shared" si="908"/>
        <v>0.1174</v>
      </c>
      <c r="M591" s="105">
        <f t="shared" si="908"/>
        <v>0.2228</v>
      </c>
      <c r="N591" s="105">
        <f t="shared" si="908"/>
        <v>0.22919999999999999</v>
      </c>
      <c r="O591" s="20">
        <f t="shared" si="906"/>
        <v>180</v>
      </c>
      <c r="P591" s="20">
        <f t="shared" si="906"/>
        <v>60</v>
      </c>
      <c r="Q591" s="104">
        <f t="shared" si="909"/>
        <v>1E-3</v>
      </c>
      <c r="R591" s="20">
        <f t="shared" si="907"/>
        <v>3</v>
      </c>
      <c r="S591" s="20">
        <f t="shared" si="907"/>
        <v>1500</v>
      </c>
      <c r="T591" s="104">
        <f t="shared" si="910"/>
        <v>0.1</v>
      </c>
      <c r="U591" s="123" t="s">
        <v>282</v>
      </c>
      <c r="V591" s="21"/>
      <c r="W591" s="58">
        <f t="shared" si="900"/>
        <v>35110</v>
      </c>
      <c r="X591" s="102">
        <f t="shared" si="901"/>
        <v>56.041200000000003</v>
      </c>
      <c r="Y591" s="102">
        <f t="shared" si="902"/>
        <v>12.6845</v>
      </c>
      <c r="Z591" s="21">
        <f t="shared" si="903"/>
        <v>8195</v>
      </c>
      <c r="AA591" s="44">
        <f t="shared" si="904"/>
        <v>0</v>
      </c>
      <c r="AB591" s="21">
        <f t="shared" si="899"/>
        <v>6</v>
      </c>
      <c r="AC591" s="119">
        <f>ROUND(I591+mwreg!$G$67/100,3)</f>
        <v>-0.37</v>
      </c>
      <c r="AD591" s="108">
        <f>ROUND(J591+mwreg!$G$67/100,3)</f>
        <v>0.749</v>
      </c>
      <c r="AE591" s="108">
        <f>ROUND(K591+mwreg!$G$67/100,3)</f>
        <v>8.6999999999999994E-2</v>
      </c>
      <c r="AF591" s="102">
        <f t="shared" si="911"/>
        <v>0.1174</v>
      </c>
      <c r="AG591" s="102">
        <f t="shared" si="912"/>
        <v>0.2228</v>
      </c>
      <c r="AH591" s="109">
        <f t="shared" si="913"/>
        <v>0.22919999999999999</v>
      </c>
      <c r="AI591" s="110">
        <f t="shared" si="914"/>
        <v>180</v>
      </c>
      <c r="AJ591" s="110">
        <f t="shared" si="915"/>
        <v>60</v>
      </c>
      <c r="AK591" s="108">
        <f t="shared" si="916"/>
        <v>1E-3</v>
      </c>
      <c r="AL591" s="110">
        <f t="shared" si="917"/>
        <v>3</v>
      </c>
      <c r="AM591" s="110">
        <f t="shared" si="918"/>
        <v>1500</v>
      </c>
      <c r="AN591" s="108">
        <f t="shared" si="919"/>
        <v>0.1</v>
      </c>
      <c r="AO591" s="186" t="str">
        <f t="shared" si="868"/>
        <v>NaN</v>
      </c>
    </row>
    <row r="592" spans="1:41" x14ac:dyDescent="0.2">
      <c r="A592" s="3" t="s">
        <v>296</v>
      </c>
      <c r="B592" s="3" t="s">
        <v>296</v>
      </c>
      <c r="C592" s="52">
        <v>35110</v>
      </c>
      <c r="D592" s="105">
        <v>56.041200000000003</v>
      </c>
      <c r="E592" s="105">
        <v>12.6845</v>
      </c>
      <c r="F592" s="20">
        <v>8195</v>
      </c>
      <c r="G592" s="18">
        <v>0</v>
      </c>
      <c r="H592" s="53">
        <v>7</v>
      </c>
      <c r="I592" s="167">
        <f t="shared" si="905"/>
        <v>-0.41299999999999998</v>
      </c>
      <c r="J592" s="104">
        <f t="shared" si="905"/>
        <v>0.77800000000000002</v>
      </c>
      <c r="K592" s="104">
        <f t="shared" si="905"/>
        <v>8.2000000000000003E-2</v>
      </c>
      <c r="L592" s="105">
        <f t="shared" si="908"/>
        <v>0.1242</v>
      </c>
      <c r="M592" s="105">
        <f t="shared" si="908"/>
        <v>0.1411</v>
      </c>
      <c r="N592" s="105">
        <f t="shared" si="908"/>
        <v>0.14680000000000001</v>
      </c>
      <c r="O592" s="20">
        <f t="shared" si="906"/>
        <v>180</v>
      </c>
      <c r="P592" s="20">
        <f t="shared" si="906"/>
        <v>60</v>
      </c>
      <c r="Q592" s="104">
        <f t="shared" si="909"/>
        <v>1E-3</v>
      </c>
      <c r="R592" s="20">
        <f t="shared" si="907"/>
        <v>3</v>
      </c>
      <c r="S592" s="20">
        <f t="shared" si="907"/>
        <v>1500</v>
      </c>
      <c r="T592" s="104">
        <f t="shared" si="910"/>
        <v>0.1</v>
      </c>
      <c r="U592" s="123" t="s">
        <v>282</v>
      </c>
      <c r="V592" s="21"/>
      <c r="W592" s="58">
        <f t="shared" si="900"/>
        <v>35110</v>
      </c>
      <c r="X592" s="102">
        <f t="shared" si="901"/>
        <v>56.041200000000003</v>
      </c>
      <c r="Y592" s="102">
        <f t="shared" si="902"/>
        <v>12.6845</v>
      </c>
      <c r="Z592" s="21">
        <f t="shared" si="903"/>
        <v>8195</v>
      </c>
      <c r="AA592" s="44">
        <f t="shared" si="904"/>
        <v>0</v>
      </c>
      <c r="AB592" s="21">
        <f t="shared" si="899"/>
        <v>7</v>
      </c>
      <c r="AC592" s="119">
        <f>ROUND(I592+mwreg!$G$67/100,3)</f>
        <v>-0.32100000000000001</v>
      </c>
      <c r="AD592" s="108">
        <f>ROUND(J592+mwreg!$G$67/100,3)</f>
        <v>0.87</v>
      </c>
      <c r="AE592" s="108">
        <f>ROUND(K592+mwreg!$G$67/100,3)</f>
        <v>0.17399999999999999</v>
      </c>
      <c r="AF592" s="102">
        <f t="shared" si="911"/>
        <v>0.1242</v>
      </c>
      <c r="AG592" s="102">
        <f t="shared" si="912"/>
        <v>0.1411</v>
      </c>
      <c r="AH592" s="109">
        <f t="shared" si="913"/>
        <v>0.14680000000000001</v>
      </c>
      <c r="AI592" s="110">
        <f t="shared" si="914"/>
        <v>180</v>
      </c>
      <c r="AJ592" s="110">
        <f t="shared" si="915"/>
        <v>60</v>
      </c>
      <c r="AK592" s="108">
        <f t="shared" si="916"/>
        <v>1E-3</v>
      </c>
      <c r="AL592" s="110">
        <f t="shared" si="917"/>
        <v>3</v>
      </c>
      <c r="AM592" s="110">
        <f t="shared" si="918"/>
        <v>1500</v>
      </c>
      <c r="AN592" s="108">
        <f t="shared" si="919"/>
        <v>0.1</v>
      </c>
      <c r="AO592" s="186" t="str">
        <f t="shared" si="868"/>
        <v>NaN</v>
      </c>
    </row>
    <row r="593" spans="1:41" x14ac:dyDescent="0.2">
      <c r="A593" s="3" t="s">
        <v>296</v>
      </c>
      <c r="B593" s="3" t="s">
        <v>296</v>
      </c>
      <c r="C593" s="52">
        <v>35110</v>
      </c>
      <c r="D593" s="105">
        <v>56.041200000000003</v>
      </c>
      <c r="E593" s="105">
        <v>12.6845</v>
      </c>
      <c r="F593" s="20">
        <v>8195</v>
      </c>
      <c r="G593" s="18">
        <v>0</v>
      </c>
      <c r="H593" s="53">
        <v>8</v>
      </c>
      <c r="I593" s="167">
        <f t="shared" si="905"/>
        <v>-0.39</v>
      </c>
      <c r="J593" s="104">
        <f t="shared" si="905"/>
        <v>0.88400000000000001</v>
      </c>
      <c r="K593" s="104">
        <f t="shared" si="905"/>
        <v>5.5E-2</v>
      </c>
      <c r="L593" s="105">
        <f t="shared" si="908"/>
        <v>0.11459999999999999</v>
      </c>
      <c r="M593" s="105">
        <f t="shared" si="908"/>
        <v>0.1638</v>
      </c>
      <c r="N593" s="105">
        <f t="shared" si="908"/>
        <v>0.17</v>
      </c>
      <c r="O593" s="20">
        <f t="shared" si="906"/>
        <v>180</v>
      </c>
      <c r="P593" s="20">
        <f t="shared" si="906"/>
        <v>60</v>
      </c>
      <c r="Q593" s="104">
        <f t="shared" si="909"/>
        <v>1E-3</v>
      </c>
      <c r="R593" s="20">
        <f t="shared" si="907"/>
        <v>3</v>
      </c>
      <c r="S593" s="20">
        <f t="shared" si="907"/>
        <v>1500</v>
      </c>
      <c r="T593" s="104">
        <f t="shared" si="910"/>
        <v>0.1</v>
      </c>
      <c r="U593" s="123" t="s">
        <v>282</v>
      </c>
      <c r="V593" s="21"/>
      <c r="W593" s="58">
        <f t="shared" si="900"/>
        <v>35110</v>
      </c>
      <c r="X593" s="102">
        <f t="shared" si="901"/>
        <v>56.041200000000003</v>
      </c>
      <c r="Y593" s="102">
        <f t="shared" si="902"/>
        <v>12.6845</v>
      </c>
      <c r="Z593" s="21">
        <f t="shared" si="903"/>
        <v>8195</v>
      </c>
      <c r="AA593" s="44">
        <f t="shared" si="904"/>
        <v>0</v>
      </c>
      <c r="AB593" s="21">
        <f t="shared" si="899"/>
        <v>8</v>
      </c>
      <c r="AC593" s="119">
        <f>ROUND(I593+mwreg!$G$67/100,3)</f>
        <v>-0.29799999999999999</v>
      </c>
      <c r="AD593" s="108">
        <f>ROUND(J593+mwreg!$G$67/100,3)</f>
        <v>0.97599999999999998</v>
      </c>
      <c r="AE593" s="108">
        <f>ROUND(K593+mwreg!$G$67/100,3)</f>
        <v>0.14699999999999999</v>
      </c>
      <c r="AF593" s="102">
        <f t="shared" si="911"/>
        <v>0.11459999999999999</v>
      </c>
      <c r="AG593" s="102">
        <f t="shared" si="912"/>
        <v>0.1638</v>
      </c>
      <c r="AH593" s="109">
        <f t="shared" si="913"/>
        <v>0.17</v>
      </c>
      <c r="AI593" s="110">
        <f t="shared" si="914"/>
        <v>180</v>
      </c>
      <c r="AJ593" s="110">
        <f t="shared" si="915"/>
        <v>60</v>
      </c>
      <c r="AK593" s="108">
        <f t="shared" si="916"/>
        <v>1E-3</v>
      </c>
      <c r="AL593" s="110">
        <f t="shared" si="917"/>
        <v>3</v>
      </c>
      <c r="AM593" s="110">
        <f t="shared" si="918"/>
        <v>1500</v>
      </c>
      <c r="AN593" s="108">
        <f t="shared" si="919"/>
        <v>0.1</v>
      </c>
      <c r="AO593" s="186" t="str">
        <f t="shared" si="868"/>
        <v>NaN</v>
      </c>
    </row>
    <row r="594" spans="1:41" x14ac:dyDescent="0.2">
      <c r="A594" s="3" t="s">
        <v>296</v>
      </c>
      <c r="B594" s="3" t="s">
        <v>296</v>
      </c>
      <c r="C594" s="52">
        <v>35110</v>
      </c>
      <c r="D594" s="105">
        <v>56.041200000000003</v>
      </c>
      <c r="E594" s="105">
        <v>12.6845</v>
      </c>
      <c r="F594" s="20">
        <v>8195</v>
      </c>
      <c r="G594" s="18">
        <v>0</v>
      </c>
      <c r="H594" s="53">
        <v>9</v>
      </c>
      <c r="I594" s="167">
        <f t="shared" si="905"/>
        <v>-0.58099999999999996</v>
      </c>
      <c r="J594" s="104">
        <f t="shared" si="905"/>
        <v>1.054</v>
      </c>
      <c r="K594" s="104">
        <f t="shared" si="905"/>
        <v>0.10299999999999999</v>
      </c>
      <c r="L594" s="105">
        <f t="shared" si="908"/>
        <v>0.17199999999999999</v>
      </c>
      <c r="M594" s="105">
        <f t="shared" si="908"/>
        <v>0.104</v>
      </c>
      <c r="N594" s="105">
        <f t="shared" si="908"/>
        <v>0.1103</v>
      </c>
      <c r="O594" s="20">
        <f t="shared" si="906"/>
        <v>180</v>
      </c>
      <c r="P594" s="20">
        <f t="shared" si="906"/>
        <v>60</v>
      </c>
      <c r="Q594" s="104">
        <f t="shared" si="909"/>
        <v>1E-3</v>
      </c>
      <c r="R594" s="20">
        <f t="shared" si="907"/>
        <v>3</v>
      </c>
      <c r="S594" s="20">
        <f t="shared" si="907"/>
        <v>1500</v>
      </c>
      <c r="T594" s="104">
        <f t="shared" si="910"/>
        <v>0.1</v>
      </c>
      <c r="U594" s="123" t="s">
        <v>282</v>
      </c>
      <c r="V594" s="21"/>
      <c r="W594" s="58">
        <f t="shared" si="900"/>
        <v>35110</v>
      </c>
      <c r="X594" s="102">
        <f t="shared" si="901"/>
        <v>56.041200000000003</v>
      </c>
      <c r="Y594" s="102">
        <f t="shared" si="902"/>
        <v>12.6845</v>
      </c>
      <c r="Z594" s="21">
        <f t="shared" si="903"/>
        <v>8195</v>
      </c>
      <c r="AA594" s="44">
        <f t="shared" si="904"/>
        <v>0</v>
      </c>
      <c r="AB594" s="21">
        <f t="shared" si="899"/>
        <v>9</v>
      </c>
      <c r="AC594" s="119">
        <f>ROUND(I594+mwreg!$G$67/100,3)</f>
        <v>-0.48899999999999999</v>
      </c>
      <c r="AD594" s="108">
        <f>ROUND(J594+mwreg!$G$67/100,3)</f>
        <v>1.1459999999999999</v>
      </c>
      <c r="AE594" s="108">
        <f>ROUND(K594+mwreg!$G$67/100,3)</f>
        <v>0.19500000000000001</v>
      </c>
      <c r="AF594" s="102">
        <f t="shared" si="911"/>
        <v>0.17199999999999999</v>
      </c>
      <c r="AG594" s="102">
        <f t="shared" si="912"/>
        <v>0.104</v>
      </c>
      <c r="AH594" s="109">
        <f t="shared" si="913"/>
        <v>0.1103</v>
      </c>
      <c r="AI594" s="110">
        <f t="shared" si="914"/>
        <v>180</v>
      </c>
      <c r="AJ594" s="110">
        <f t="shared" si="915"/>
        <v>60</v>
      </c>
      <c r="AK594" s="108">
        <f t="shared" si="916"/>
        <v>1E-3</v>
      </c>
      <c r="AL594" s="110">
        <f t="shared" si="917"/>
        <v>3</v>
      </c>
      <c r="AM594" s="110">
        <f t="shared" si="918"/>
        <v>1500</v>
      </c>
      <c r="AN594" s="108">
        <f t="shared" si="919"/>
        <v>0.1</v>
      </c>
      <c r="AO594" s="186" t="str">
        <f t="shared" si="868"/>
        <v>NaN</v>
      </c>
    </row>
    <row r="595" spans="1:41" x14ac:dyDescent="0.2">
      <c r="A595" s="3" t="s">
        <v>296</v>
      </c>
      <c r="B595" s="3" t="s">
        <v>296</v>
      </c>
      <c r="C595" s="52">
        <v>35110</v>
      </c>
      <c r="D595" s="105">
        <v>56.041200000000003</v>
      </c>
      <c r="E595" s="105">
        <v>12.6845</v>
      </c>
      <c r="F595" s="20">
        <v>8195</v>
      </c>
      <c r="G595" s="18">
        <v>0</v>
      </c>
      <c r="H595" s="53">
        <v>10</v>
      </c>
      <c r="I595" s="167">
        <f t="shared" si="905"/>
        <v>-0.878</v>
      </c>
      <c r="J595" s="104">
        <f t="shared" si="905"/>
        <v>1.1850000000000001</v>
      </c>
      <c r="K595" s="104">
        <f t="shared" si="905"/>
        <v>7.0999999999999994E-2</v>
      </c>
      <c r="L595" s="105">
        <f t="shared" si="908"/>
        <v>0.187</v>
      </c>
      <c r="M595" s="105">
        <f t="shared" si="908"/>
        <v>0.11700000000000001</v>
      </c>
      <c r="N595" s="105">
        <f t="shared" si="908"/>
        <v>0.12429999999999999</v>
      </c>
      <c r="O595" s="20">
        <f t="shared" si="906"/>
        <v>180</v>
      </c>
      <c r="P595" s="20">
        <f t="shared" si="906"/>
        <v>60</v>
      </c>
      <c r="Q595" s="104">
        <f t="shared" si="909"/>
        <v>1E-3</v>
      </c>
      <c r="R595" s="20">
        <f t="shared" si="907"/>
        <v>3</v>
      </c>
      <c r="S595" s="20">
        <f t="shared" si="907"/>
        <v>1500</v>
      </c>
      <c r="T595" s="104">
        <f t="shared" si="910"/>
        <v>0.1</v>
      </c>
      <c r="U595" s="123" t="s">
        <v>282</v>
      </c>
      <c r="V595" s="21"/>
      <c r="W595" s="58">
        <f t="shared" si="900"/>
        <v>35110</v>
      </c>
      <c r="X595" s="102">
        <f t="shared" si="901"/>
        <v>56.041200000000003</v>
      </c>
      <c r="Y595" s="102">
        <f t="shared" si="902"/>
        <v>12.6845</v>
      </c>
      <c r="Z595" s="21">
        <f t="shared" si="903"/>
        <v>8195</v>
      </c>
      <c r="AA595" s="44">
        <f t="shared" si="904"/>
        <v>0</v>
      </c>
      <c r="AB595" s="21">
        <f t="shared" si="899"/>
        <v>10</v>
      </c>
      <c r="AC595" s="119">
        <f>ROUND(I595+mwreg!$G$67/100,3)</f>
        <v>-0.78600000000000003</v>
      </c>
      <c r="AD595" s="108">
        <f>ROUND(J595+mwreg!$G$67/100,3)</f>
        <v>1.2769999999999999</v>
      </c>
      <c r="AE595" s="108">
        <f>ROUND(K595+mwreg!$G$67/100,3)</f>
        <v>0.16300000000000001</v>
      </c>
      <c r="AF595" s="102">
        <f t="shared" si="911"/>
        <v>0.187</v>
      </c>
      <c r="AG595" s="102">
        <f t="shared" si="912"/>
        <v>0.11700000000000001</v>
      </c>
      <c r="AH595" s="109">
        <f t="shared" si="913"/>
        <v>0.12429999999999999</v>
      </c>
      <c r="AI595" s="110">
        <f t="shared" si="914"/>
        <v>180</v>
      </c>
      <c r="AJ595" s="110">
        <f t="shared" si="915"/>
        <v>60</v>
      </c>
      <c r="AK595" s="108">
        <f t="shared" si="916"/>
        <v>1E-3</v>
      </c>
      <c r="AL595" s="110">
        <f t="shared" si="917"/>
        <v>3</v>
      </c>
      <c r="AM595" s="110">
        <f t="shared" si="918"/>
        <v>1500</v>
      </c>
      <c r="AN595" s="108">
        <f t="shared" si="919"/>
        <v>0.1</v>
      </c>
      <c r="AO595" s="186" t="str">
        <f t="shared" si="868"/>
        <v>NaN</v>
      </c>
    </row>
    <row r="596" spans="1:41" x14ac:dyDescent="0.2">
      <c r="A596" s="3" t="s">
        <v>296</v>
      </c>
      <c r="B596" s="3" t="s">
        <v>296</v>
      </c>
      <c r="C596" s="52">
        <v>35110</v>
      </c>
      <c r="D596" s="105">
        <v>56.041200000000003</v>
      </c>
      <c r="E596" s="105">
        <v>12.6845</v>
      </c>
      <c r="F596" s="20">
        <v>8195</v>
      </c>
      <c r="G596" s="18">
        <v>0</v>
      </c>
      <c r="H596" s="53">
        <v>11</v>
      </c>
      <c r="I596" s="167">
        <f t="shared" si="905"/>
        <v>-0.94699999999999995</v>
      </c>
      <c r="J596" s="104">
        <f t="shared" si="905"/>
        <v>1.5820000000000001</v>
      </c>
      <c r="K596" s="104">
        <f t="shared" si="905"/>
        <v>3.5999999999999997E-2</v>
      </c>
      <c r="L596" s="105">
        <f t="shared" si="908"/>
        <v>0.2198</v>
      </c>
      <c r="M596" s="105">
        <f t="shared" si="908"/>
        <v>0.10150000000000001</v>
      </c>
      <c r="N596" s="105">
        <f t="shared" si="908"/>
        <v>0.1091</v>
      </c>
      <c r="O596" s="20">
        <f t="shared" si="906"/>
        <v>180</v>
      </c>
      <c r="P596" s="20">
        <f t="shared" si="906"/>
        <v>60</v>
      </c>
      <c r="Q596" s="104">
        <f t="shared" si="909"/>
        <v>1E-3</v>
      </c>
      <c r="R596" s="20">
        <f t="shared" si="907"/>
        <v>3</v>
      </c>
      <c r="S596" s="20">
        <f t="shared" si="907"/>
        <v>1500</v>
      </c>
      <c r="T596" s="104">
        <f t="shared" si="910"/>
        <v>0.1</v>
      </c>
      <c r="U596" s="123" t="s">
        <v>282</v>
      </c>
      <c r="V596" s="21"/>
      <c r="W596" s="58">
        <f t="shared" si="900"/>
        <v>35110</v>
      </c>
      <c r="X596" s="102">
        <f t="shared" si="901"/>
        <v>56.041200000000003</v>
      </c>
      <c r="Y596" s="102">
        <f t="shared" si="902"/>
        <v>12.6845</v>
      </c>
      <c r="Z596" s="21">
        <f t="shared" si="903"/>
        <v>8195</v>
      </c>
      <c r="AA596" s="44">
        <f t="shared" si="904"/>
        <v>0</v>
      </c>
      <c r="AB596" s="21">
        <f t="shared" si="899"/>
        <v>11</v>
      </c>
      <c r="AC596" s="119">
        <f>ROUND(I596+mwreg!$G$67/100,3)</f>
        <v>-0.85499999999999998</v>
      </c>
      <c r="AD596" s="108">
        <f>ROUND(J596+mwreg!$G$67/100,3)</f>
        <v>1.6739999999999999</v>
      </c>
      <c r="AE596" s="108">
        <f>ROUND(K596+mwreg!$G$67/100,3)</f>
        <v>0.128</v>
      </c>
      <c r="AF596" s="102">
        <f t="shared" si="911"/>
        <v>0.2198</v>
      </c>
      <c r="AG596" s="102">
        <f t="shared" si="912"/>
        <v>0.10150000000000001</v>
      </c>
      <c r="AH596" s="109">
        <f t="shared" si="913"/>
        <v>0.1091</v>
      </c>
      <c r="AI596" s="110">
        <f t="shared" si="914"/>
        <v>180</v>
      </c>
      <c r="AJ596" s="110">
        <f t="shared" si="915"/>
        <v>60</v>
      </c>
      <c r="AK596" s="108">
        <f t="shared" si="916"/>
        <v>1E-3</v>
      </c>
      <c r="AL596" s="110">
        <f t="shared" si="917"/>
        <v>3</v>
      </c>
      <c r="AM596" s="110">
        <f t="shared" si="918"/>
        <v>1500</v>
      </c>
      <c r="AN596" s="108">
        <f t="shared" si="919"/>
        <v>0.1</v>
      </c>
      <c r="AO596" s="186" t="str">
        <f t="shared" si="868"/>
        <v>NaN</v>
      </c>
    </row>
    <row r="597" spans="1:41" x14ac:dyDescent="0.2">
      <c r="A597" s="3" t="s">
        <v>296</v>
      </c>
      <c r="B597" s="3" t="s">
        <v>296</v>
      </c>
      <c r="C597" s="52">
        <v>35110</v>
      </c>
      <c r="D597" s="105">
        <v>56.041200000000003</v>
      </c>
      <c r="E597" s="105">
        <v>12.6845</v>
      </c>
      <c r="F597" s="20">
        <v>8195</v>
      </c>
      <c r="G597" s="18">
        <v>0</v>
      </c>
      <c r="H597" s="53">
        <v>12</v>
      </c>
      <c r="I597" s="167">
        <f t="shared" si="905"/>
        <v>-0.93899999999999995</v>
      </c>
      <c r="J597" s="104">
        <f t="shared" si="905"/>
        <v>1.653</v>
      </c>
      <c r="K597" s="104">
        <f t="shared" si="905"/>
        <v>7.0999999999999994E-2</v>
      </c>
      <c r="L597" s="105">
        <f t="shared" si="908"/>
        <v>0.23119999999999999</v>
      </c>
      <c r="M597" s="105">
        <f t="shared" si="908"/>
        <v>0.112</v>
      </c>
      <c r="N597" s="105">
        <f t="shared" si="908"/>
        <v>0.1191</v>
      </c>
      <c r="O597" s="20">
        <f t="shared" si="906"/>
        <v>180</v>
      </c>
      <c r="P597" s="20">
        <f t="shared" si="906"/>
        <v>60</v>
      </c>
      <c r="Q597" s="104">
        <f t="shared" si="909"/>
        <v>1E-3</v>
      </c>
      <c r="R597" s="20">
        <f t="shared" si="907"/>
        <v>3</v>
      </c>
      <c r="S597" s="20">
        <f t="shared" si="907"/>
        <v>1500</v>
      </c>
      <c r="T597" s="104">
        <f t="shared" si="910"/>
        <v>0.1</v>
      </c>
      <c r="U597" s="123" t="s">
        <v>282</v>
      </c>
      <c r="V597" s="21"/>
      <c r="W597" s="58">
        <f t="shared" si="900"/>
        <v>35110</v>
      </c>
      <c r="X597" s="102">
        <f t="shared" si="901"/>
        <v>56.041200000000003</v>
      </c>
      <c r="Y597" s="102">
        <f t="shared" si="902"/>
        <v>12.6845</v>
      </c>
      <c r="Z597" s="21">
        <f t="shared" si="903"/>
        <v>8195</v>
      </c>
      <c r="AA597" s="44">
        <f t="shared" si="904"/>
        <v>0</v>
      </c>
      <c r="AB597" s="21">
        <f t="shared" si="899"/>
        <v>12</v>
      </c>
      <c r="AC597" s="119">
        <f>ROUND(I597+mwreg!$G$67/100,3)</f>
        <v>-0.84699999999999998</v>
      </c>
      <c r="AD597" s="108">
        <f>ROUND(J597+mwreg!$G$67/100,3)</f>
        <v>1.7450000000000001</v>
      </c>
      <c r="AE597" s="108">
        <f>ROUND(K597+mwreg!$G$67/100,3)</f>
        <v>0.16300000000000001</v>
      </c>
      <c r="AF597" s="102">
        <f t="shared" si="911"/>
        <v>0.23119999999999999</v>
      </c>
      <c r="AG597" s="102">
        <f t="shared" si="912"/>
        <v>0.112</v>
      </c>
      <c r="AH597" s="109">
        <f t="shared" si="913"/>
        <v>0.1191</v>
      </c>
      <c r="AI597" s="110">
        <f t="shared" si="914"/>
        <v>180</v>
      </c>
      <c r="AJ597" s="110">
        <f t="shared" si="915"/>
        <v>60</v>
      </c>
      <c r="AK597" s="108">
        <f t="shared" si="916"/>
        <v>1E-3</v>
      </c>
      <c r="AL597" s="110">
        <f t="shared" si="917"/>
        <v>3</v>
      </c>
      <c r="AM597" s="110">
        <f t="shared" si="918"/>
        <v>1500</v>
      </c>
      <c r="AN597" s="108">
        <f t="shared" si="919"/>
        <v>0.1</v>
      </c>
      <c r="AO597" s="186" t="str">
        <f t="shared" si="868"/>
        <v>NaN</v>
      </c>
    </row>
    <row r="598" spans="1:41" x14ac:dyDescent="0.2">
      <c r="A598" s="3" t="str">
        <f>stat_uppg!A58</f>
        <v>2228/33068</v>
      </c>
      <c r="B598" s="3" t="str">
        <f>stat_uppg!B58</f>
        <v>VIKEN (SMHI)</v>
      </c>
      <c r="C598" s="55">
        <v>2228</v>
      </c>
      <c r="D598" s="79">
        <v>56.142200000000003</v>
      </c>
      <c r="E598" s="79">
        <v>12.5792</v>
      </c>
      <c r="F598" s="14">
        <v>8195</v>
      </c>
      <c r="G598" s="10">
        <v>0</v>
      </c>
      <c r="H598" s="122">
        <v>1</v>
      </c>
      <c r="I598" s="165">
        <v>-1.1479999999999999</v>
      </c>
      <c r="J598" s="11">
        <v>1.504</v>
      </c>
      <c r="K598" s="11">
        <v>7.0000000000000007E-2</v>
      </c>
      <c r="L598" s="79">
        <v>0.27089999999999997</v>
      </c>
      <c r="M598" s="79">
        <v>9.06E-2</v>
      </c>
      <c r="N598" s="79">
        <v>9.8000000000000004E-2</v>
      </c>
      <c r="O598" s="14">
        <v>180</v>
      </c>
      <c r="P598" s="14">
        <v>60</v>
      </c>
      <c r="Q598" s="11">
        <v>1E-3</v>
      </c>
      <c r="R598" s="14">
        <v>3</v>
      </c>
      <c r="S598" s="14">
        <v>1500</v>
      </c>
      <c r="T598" s="11">
        <v>0.1</v>
      </c>
      <c r="U598" s="122">
        <v>209889</v>
      </c>
      <c r="V598" s="35"/>
      <c r="W598" s="99">
        <f t="shared" si="900"/>
        <v>2228</v>
      </c>
      <c r="X598" s="100">
        <f t="shared" si="901"/>
        <v>56.142200000000003</v>
      </c>
      <c r="Y598" s="100">
        <f t="shared" si="902"/>
        <v>12.5792</v>
      </c>
      <c r="Z598" s="22">
        <f t="shared" si="903"/>
        <v>8195</v>
      </c>
      <c r="AA598" s="35">
        <f t="shared" si="904"/>
        <v>0</v>
      </c>
      <c r="AB598" s="22">
        <f t="shared" si="899"/>
        <v>1</v>
      </c>
      <c r="AC598" s="118">
        <f>ROUND(I598+mwreg!$G$68/100,3)</f>
        <v>-1.0660000000000001</v>
      </c>
      <c r="AD598" s="83">
        <f>ROUND(J598+mwreg!$H$56/100,3)</f>
        <v>1.504</v>
      </c>
      <c r="AE598" s="83">
        <f>ROUND(K598+mwreg!$H$56/100,3)</f>
        <v>7.0000000000000007E-2</v>
      </c>
      <c r="AF598" s="100">
        <f t="shared" si="911"/>
        <v>0.27089999999999997</v>
      </c>
      <c r="AG598" s="100">
        <f t="shared" si="912"/>
        <v>9.06E-2</v>
      </c>
      <c r="AH598" s="84">
        <f t="shared" si="913"/>
        <v>9.8000000000000004E-2</v>
      </c>
      <c r="AI598" s="82">
        <f t="shared" si="914"/>
        <v>180</v>
      </c>
      <c r="AJ598" s="82">
        <f t="shared" si="915"/>
        <v>60</v>
      </c>
      <c r="AK598" s="83">
        <f t="shared" si="916"/>
        <v>1E-3</v>
      </c>
      <c r="AL598" s="82">
        <f t="shared" si="917"/>
        <v>3</v>
      </c>
      <c r="AM598" s="82">
        <f t="shared" si="918"/>
        <v>1500</v>
      </c>
      <c r="AN598" s="83">
        <f t="shared" si="919"/>
        <v>0.1</v>
      </c>
      <c r="AO598" s="188">
        <f t="shared" ref="AO598:AO661" si="920">U598</f>
        <v>209889</v>
      </c>
    </row>
    <row r="599" spans="1:41" x14ac:dyDescent="0.2">
      <c r="A599" s="3" t="s">
        <v>296</v>
      </c>
      <c r="B599" s="3" t="s">
        <v>296</v>
      </c>
      <c r="C599" s="55">
        <v>2228</v>
      </c>
      <c r="D599" s="79">
        <v>56.142200000000003</v>
      </c>
      <c r="E599" s="79">
        <v>12.5792</v>
      </c>
      <c r="F599" s="14">
        <v>8195</v>
      </c>
      <c r="G599" s="10">
        <v>0</v>
      </c>
      <c r="H599" s="122">
        <v>2</v>
      </c>
      <c r="I599" s="165">
        <v>-0.94699999999999995</v>
      </c>
      <c r="J599" s="11">
        <v>1.2410000000000001</v>
      </c>
      <c r="K599" s="11">
        <v>1.2999999999999999E-2</v>
      </c>
      <c r="L599" s="79">
        <v>0.2545</v>
      </c>
      <c r="M599" s="79">
        <v>0.21329999999999999</v>
      </c>
      <c r="N599" s="79">
        <v>0.22</v>
      </c>
      <c r="O599" s="14">
        <v>180</v>
      </c>
      <c r="P599" s="14">
        <v>60</v>
      </c>
      <c r="Q599" s="11">
        <v>1E-3</v>
      </c>
      <c r="R599" s="14">
        <v>3</v>
      </c>
      <c r="S599" s="14">
        <v>1500</v>
      </c>
      <c r="T599" s="11">
        <v>0.1</v>
      </c>
      <c r="U599" s="122">
        <v>190370</v>
      </c>
      <c r="V599" s="35"/>
      <c r="W599" s="99">
        <f t="shared" si="900"/>
        <v>2228</v>
      </c>
      <c r="X599" s="100">
        <f t="shared" si="901"/>
        <v>56.142200000000003</v>
      </c>
      <c r="Y599" s="100">
        <f t="shared" si="902"/>
        <v>12.5792</v>
      </c>
      <c r="Z599" s="22">
        <f t="shared" si="903"/>
        <v>8195</v>
      </c>
      <c r="AA599" s="35">
        <f t="shared" si="904"/>
        <v>0</v>
      </c>
      <c r="AB599" s="22">
        <f t="shared" si="899"/>
        <v>2</v>
      </c>
      <c r="AC599" s="118">
        <f>ROUND(I599+mwreg!$G$68/100,3)</f>
        <v>-0.86499999999999999</v>
      </c>
      <c r="AD599" s="83">
        <f>ROUND(J599+mwreg!$H$56/100,3)</f>
        <v>1.2410000000000001</v>
      </c>
      <c r="AE599" s="83">
        <f>ROUND(K599+mwreg!$H$56/100,3)</f>
        <v>1.2999999999999999E-2</v>
      </c>
      <c r="AF599" s="100">
        <f t="shared" si="911"/>
        <v>0.2545</v>
      </c>
      <c r="AG599" s="100">
        <f t="shared" si="912"/>
        <v>0.21329999999999999</v>
      </c>
      <c r="AH599" s="84">
        <f t="shared" si="913"/>
        <v>0.22</v>
      </c>
      <c r="AI599" s="82">
        <f t="shared" si="914"/>
        <v>180</v>
      </c>
      <c r="AJ599" s="82">
        <f t="shared" si="915"/>
        <v>60</v>
      </c>
      <c r="AK599" s="83">
        <f t="shared" si="916"/>
        <v>1E-3</v>
      </c>
      <c r="AL599" s="82">
        <f t="shared" si="917"/>
        <v>3</v>
      </c>
      <c r="AM599" s="82">
        <f t="shared" si="918"/>
        <v>1500</v>
      </c>
      <c r="AN599" s="83">
        <f t="shared" si="919"/>
        <v>0.1</v>
      </c>
      <c r="AO599" s="188">
        <f t="shared" si="920"/>
        <v>190370</v>
      </c>
    </row>
    <row r="600" spans="1:41" x14ac:dyDescent="0.2">
      <c r="A600" s="3" t="s">
        <v>296</v>
      </c>
      <c r="B600" s="3" t="s">
        <v>296</v>
      </c>
      <c r="C600" s="55">
        <v>2228</v>
      </c>
      <c r="D600" s="79">
        <v>56.142200000000003</v>
      </c>
      <c r="E600" s="79">
        <v>12.5792</v>
      </c>
      <c r="F600" s="14">
        <v>8195</v>
      </c>
      <c r="G600" s="10">
        <v>0</v>
      </c>
      <c r="H600" s="122">
        <v>3</v>
      </c>
      <c r="I600" s="165">
        <v>-0.90700000000000003</v>
      </c>
      <c r="J600" s="11">
        <v>1.353</v>
      </c>
      <c r="K600" s="11">
        <v>-2.8000000000000001E-2</v>
      </c>
      <c r="L600" s="79">
        <v>0.22140000000000001</v>
      </c>
      <c r="M600" s="79">
        <v>0.1139</v>
      </c>
      <c r="N600" s="79">
        <v>0.12</v>
      </c>
      <c r="O600" s="14">
        <v>180</v>
      </c>
      <c r="P600" s="14">
        <v>60</v>
      </c>
      <c r="Q600" s="11">
        <v>1E-3</v>
      </c>
      <c r="R600" s="14">
        <v>3</v>
      </c>
      <c r="S600" s="14">
        <v>1500</v>
      </c>
      <c r="T600" s="11">
        <v>0.1</v>
      </c>
      <c r="U600" s="122">
        <v>210181</v>
      </c>
      <c r="V600" s="35"/>
      <c r="W600" s="99">
        <f t="shared" si="900"/>
        <v>2228</v>
      </c>
      <c r="X600" s="100">
        <f t="shared" si="901"/>
        <v>56.142200000000003</v>
      </c>
      <c r="Y600" s="100">
        <f t="shared" si="902"/>
        <v>12.5792</v>
      </c>
      <c r="Z600" s="22">
        <f t="shared" si="903"/>
        <v>8195</v>
      </c>
      <c r="AA600" s="35">
        <f t="shared" si="904"/>
        <v>0</v>
      </c>
      <c r="AB600" s="22">
        <f t="shared" si="899"/>
        <v>3</v>
      </c>
      <c r="AC600" s="118">
        <f>ROUND(I600+mwreg!$G$68/100,3)</f>
        <v>-0.82499999999999996</v>
      </c>
      <c r="AD600" s="83">
        <f>ROUND(J600+mwreg!$H$56/100,3)</f>
        <v>1.353</v>
      </c>
      <c r="AE600" s="83">
        <f>ROUND(K600+mwreg!$H$56/100,3)</f>
        <v>-2.8000000000000001E-2</v>
      </c>
      <c r="AF600" s="100">
        <f t="shared" si="911"/>
        <v>0.22140000000000001</v>
      </c>
      <c r="AG600" s="100">
        <f t="shared" si="912"/>
        <v>0.1139</v>
      </c>
      <c r="AH600" s="84">
        <f t="shared" si="913"/>
        <v>0.12</v>
      </c>
      <c r="AI600" s="82">
        <f t="shared" si="914"/>
        <v>180</v>
      </c>
      <c r="AJ600" s="82">
        <f t="shared" si="915"/>
        <v>60</v>
      </c>
      <c r="AK600" s="83">
        <f t="shared" si="916"/>
        <v>1E-3</v>
      </c>
      <c r="AL600" s="82">
        <f t="shared" si="917"/>
        <v>3</v>
      </c>
      <c r="AM600" s="82">
        <f t="shared" si="918"/>
        <v>1500</v>
      </c>
      <c r="AN600" s="83">
        <f t="shared" si="919"/>
        <v>0.1</v>
      </c>
      <c r="AO600" s="188">
        <f t="shared" si="920"/>
        <v>210181</v>
      </c>
    </row>
    <row r="601" spans="1:41" x14ac:dyDescent="0.2">
      <c r="A601" s="3" t="s">
        <v>296</v>
      </c>
      <c r="B601" s="3" t="s">
        <v>296</v>
      </c>
      <c r="C601" s="55">
        <v>2228</v>
      </c>
      <c r="D601" s="79">
        <v>56.142200000000003</v>
      </c>
      <c r="E601" s="79">
        <v>12.5792</v>
      </c>
      <c r="F601" s="14">
        <v>8195</v>
      </c>
      <c r="G601" s="10">
        <v>0</v>
      </c>
      <c r="H601" s="122">
        <v>4</v>
      </c>
      <c r="I601" s="165">
        <v>-0.82599999999999996</v>
      </c>
      <c r="J601" s="11">
        <v>0.93100000000000005</v>
      </c>
      <c r="K601" s="11">
        <v>-0.08</v>
      </c>
      <c r="L601" s="79">
        <v>0.1595</v>
      </c>
      <c r="M601" s="79">
        <v>0.24879999999999999</v>
      </c>
      <c r="N601" s="79">
        <v>0.255</v>
      </c>
      <c r="O601" s="14">
        <v>180</v>
      </c>
      <c r="P601" s="14">
        <v>60</v>
      </c>
      <c r="Q601" s="11">
        <v>1E-3</v>
      </c>
      <c r="R601" s="14">
        <v>3</v>
      </c>
      <c r="S601" s="14">
        <v>1500</v>
      </c>
      <c r="T601" s="11">
        <v>0.1</v>
      </c>
      <c r="U601" s="122">
        <v>202944</v>
      </c>
      <c r="V601" s="35"/>
      <c r="W601" s="99">
        <f t="shared" si="900"/>
        <v>2228</v>
      </c>
      <c r="X601" s="100">
        <f t="shared" si="901"/>
        <v>56.142200000000003</v>
      </c>
      <c r="Y601" s="100">
        <f t="shared" si="902"/>
        <v>12.5792</v>
      </c>
      <c r="Z601" s="22">
        <f t="shared" si="903"/>
        <v>8195</v>
      </c>
      <c r="AA601" s="35">
        <f t="shared" si="904"/>
        <v>0</v>
      </c>
      <c r="AB601" s="22">
        <f t="shared" si="899"/>
        <v>4</v>
      </c>
      <c r="AC601" s="118">
        <f>ROUND(I601+mwreg!$G$68/100,3)</f>
        <v>-0.74399999999999999</v>
      </c>
      <c r="AD601" s="83">
        <f>ROUND(J601+mwreg!$H$56/100,3)</f>
        <v>0.93100000000000005</v>
      </c>
      <c r="AE601" s="83">
        <f>ROUND(K601+mwreg!$H$56/100,3)</f>
        <v>-0.08</v>
      </c>
      <c r="AF601" s="100">
        <f t="shared" si="911"/>
        <v>0.1595</v>
      </c>
      <c r="AG601" s="100">
        <f t="shared" si="912"/>
        <v>0.24879999999999999</v>
      </c>
      <c r="AH601" s="84">
        <f t="shared" si="913"/>
        <v>0.255</v>
      </c>
      <c r="AI601" s="82">
        <f t="shared" si="914"/>
        <v>180</v>
      </c>
      <c r="AJ601" s="82">
        <f t="shared" si="915"/>
        <v>60</v>
      </c>
      <c r="AK601" s="83">
        <f t="shared" si="916"/>
        <v>1E-3</v>
      </c>
      <c r="AL601" s="82">
        <f t="shared" si="917"/>
        <v>3</v>
      </c>
      <c r="AM601" s="82">
        <f t="shared" si="918"/>
        <v>1500</v>
      </c>
      <c r="AN601" s="83">
        <f t="shared" si="919"/>
        <v>0.1</v>
      </c>
      <c r="AO601" s="188">
        <f t="shared" si="920"/>
        <v>202944</v>
      </c>
    </row>
    <row r="602" spans="1:41" x14ac:dyDescent="0.2">
      <c r="A602" s="3" t="s">
        <v>296</v>
      </c>
      <c r="B602" s="3" t="s">
        <v>296</v>
      </c>
      <c r="C602" s="55">
        <v>2228</v>
      </c>
      <c r="D602" s="79">
        <v>56.142200000000003</v>
      </c>
      <c r="E602" s="79">
        <v>12.5792</v>
      </c>
      <c r="F602" s="14">
        <v>8195</v>
      </c>
      <c r="G602" s="10">
        <v>0</v>
      </c>
      <c r="H602" s="122">
        <v>5</v>
      </c>
      <c r="I602" s="165">
        <v>-0.56699999999999995</v>
      </c>
      <c r="J602" s="11">
        <v>0.56999999999999995</v>
      </c>
      <c r="K602" s="11">
        <v>-3.5000000000000003E-2</v>
      </c>
      <c r="L602" s="79">
        <v>0.1343</v>
      </c>
      <c r="M602" s="79">
        <v>0.10829999999999999</v>
      </c>
      <c r="N602" s="79">
        <v>0.114</v>
      </c>
      <c r="O602" s="14">
        <v>180</v>
      </c>
      <c r="P602" s="14">
        <v>60</v>
      </c>
      <c r="Q602" s="11">
        <v>1E-3</v>
      </c>
      <c r="R602" s="14">
        <v>3</v>
      </c>
      <c r="S602" s="14">
        <v>1500</v>
      </c>
      <c r="T602" s="11">
        <v>0.1</v>
      </c>
      <c r="U602" s="122">
        <v>209253</v>
      </c>
      <c r="V602" s="35"/>
      <c r="W602" s="99">
        <f t="shared" si="900"/>
        <v>2228</v>
      </c>
      <c r="X602" s="100">
        <f t="shared" si="901"/>
        <v>56.142200000000003</v>
      </c>
      <c r="Y602" s="100">
        <f t="shared" si="902"/>
        <v>12.5792</v>
      </c>
      <c r="Z602" s="22">
        <f t="shared" si="903"/>
        <v>8195</v>
      </c>
      <c r="AA602" s="35">
        <f t="shared" si="904"/>
        <v>0</v>
      </c>
      <c r="AB602" s="22">
        <f t="shared" si="899"/>
        <v>5</v>
      </c>
      <c r="AC602" s="118">
        <f>ROUND(I602+mwreg!$G$68/100,3)</f>
        <v>-0.48499999999999999</v>
      </c>
      <c r="AD602" s="83">
        <f>ROUND(J602+mwreg!$H$56/100,3)</f>
        <v>0.56999999999999995</v>
      </c>
      <c r="AE602" s="83">
        <f>ROUND(K602+mwreg!$H$56/100,3)</f>
        <v>-3.5000000000000003E-2</v>
      </c>
      <c r="AF602" s="100">
        <f t="shared" si="911"/>
        <v>0.1343</v>
      </c>
      <c r="AG602" s="100">
        <f t="shared" si="912"/>
        <v>0.10829999999999999</v>
      </c>
      <c r="AH602" s="84">
        <f t="shared" si="913"/>
        <v>0.114</v>
      </c>
      <c r="AI602" s="82">
        <f t="shared" si="914"/>
        <v>180</v>
      </c>
      <c r="AJ602" s="82">
        <f t="shared" si="915"/>
        <v>60</v>
      </c>
      <c r="AK602" s="83">
        <f t="shared" si="916"/>
        <v>1E-3</v>
      </c>
      <c r="AL602" s="82">
        <f t="shared" si="917"/>
        <v>3</v>
      </c>
      <c r="AM602" s="82">
        <f t="shared" si="918"/>
        <v>1500</v>
      </c>
      <c r="AN602" s="83">
        <f t="shared" si="919"/>
        <v>0.1</v>
      </c>
      <c r="AO602" s="188">
        <f t="shared" si="920"/>
        <v>209253</v>
      </c>
    </row>
    <row r="603" spans="1:41" x14ac:dyDescent="0.2">
      <c r="A603" s="3" t="s">
        <v>296</v>
      </c>
      <c r="B603" s="3" t="s">
        <v>296</v>
      </c>
      <c r="C603" s="55">
        <v>2228</v>
      </c>
      <c r="D603" s="79">
        <v>56.142200000000003</v>
      </c>
      <c r="E603" s="79">
        <v>12.5792</v>
      </c>
      <c r="F603" s="14">
        <v>8195</v>
      </c>
      <c r="G603" s="10">
        <v>0</v>
      </c>
      <c r="H603" s="122">
        <v>6</v>
      </c>
      <c r="I603" s="165">
        <v>-0.48699999999999999</v>
      </c>
      <c r="J603" s="11">
        <v>0.65800000000000003</v>
      </c>
      <c r="K603" s="11">
        <v>-4.0000000000000001E-3</v>
      </c>
      <c r="L603" s="79">
        <v>0.1225</v>
      </c>
      <c r="M603" s="79">
        <v>0.24360000000000001</v>
      </c>
      <c r="N603" s="79">
        <v>0.25</v>
      </c>
      <c r="O603" s="14">
        <v>180</v>
      </c>
      <c r="P603" s="14">
        <v>60</v>
      </c>
      <c r="Q603" s="11">
        <v>1E-3</v>
      </c>
      <c r="R603" s="14">
        <v>3</v>
      </c>
      <c r="S603" s="14">
        <v>1500</v>
      </c>
      <c r="T603" s="11">
        <v>0.1</v>
      </c>
      <c r="U603" s="122">
        <v>199481</v>
      </c>
      <c r="V603" s="35"/>
      <c r="W603" s="99">
        <f t="shared" si="900"/>
        <v>2228</v>
      </c>
      <c r="X603" s="100">
        <f t="shared" si="901"/>
        <v>56.142200000000003</v>
      </c>
      <c r="Y603" s="100">
        <f t="shared" si="902"/>
        <v>12.5792</v>
      </c>
      <c r="Z603" s="22">
        <f t="shared" si="903"/>
        <v>8195</v>
      </c>
      <c r="AA603" s="35">
        <f t="shared" si="904"/>
        <v>0</v>
      </c>
      <c r="AB603" s="22">
        <f t="shared" si="899"/>
        <v>6</v>
      </c>
      <c r="AC603" s="118">
        <f>ROUND(I603+mwreg!$G$68/100,3)</f>
        <v>-0.40500000000000003</v>
      </c>
      <c r="AD603" s="83">
        <f>ROUND(J603+mwreg!$H$56/100,3)</f>
        <v>0.65800000000000003</v>
      </c>
      <c r="AE603" s="83">
        <f>ROUND(K603+mwreg!$H$56/100,3)</f>
        <v>-4.0000000000000001E-3</v>
      </c>
      <c r="AF603" s="100">
        <f t="shared" si="911"/>
        <v>0.1225</v>
      </c>
      <c r="AG603" s="100">
        <f t="shared" si="912"/>
        <v>0.24360000000000001</v>
      </c>
      <c r="AH603" s="84">
        <f t="shared" si="913"/>
        <v>0.25</v>
      </c>
      <c r="AI603" s="82">
        <f t="shared" si="914"/>
        <v>180</v>
      </c>
      <c r="AJ603" s="82">
        <f t="shared" si="915"/>
        <v>60</v>
      </c>
      <c r="AK603" s="83">
        <f t="shared" si="916"/>
        <v>1E-3</v>
      </c>
      <c r="AL603" s="82">
        <f t="shared" si="917"/>
        <v>3</v>
      </c>
      <c r="AM603" s="82">
        <f t="shared" si="918"/>
        <v>1500</v>
      </c>
      <c r="AN603" s="83">
        <f t="shared" si="919"/>
        <v>0.1</v>
      </c>
      <c r="AO603" s="188">
        <f t="shared" si="920"/>
        <v>199481</v>
      </c>
    </row>
    <row r="604" spans="1:41" x14ac:dyDescent="0.2">
      <c r="A604" s="3" t="s">
        <v>296</v>
      </c>
      <c r="B604" s="3" t="s">
        <v>296</v>
      </c>
      <c r="C604" s="55">
        <v>2228</v>
      </c>
      <c r="D604" s="79">
        <v>56.142200000000003</v>
      </c>
      <c r="E604" s="79">
        <v>12.5792</v>
      </c>
      <c r="F604" s="14">
        <v>8195</v>
      </c>
      <c r="G604" s="10">
        <v>0</v>
      </c>
      <c r="H604" s="122">
        <v>7</v>
      </c>
      <c r="I604" s="165">
        <v>-0.44700000000000001</v>
      </c>
      <c r="J604" s="11">
        <v>0.83599999999999997</v>
      </c>
      <c r="K604" s="11">
        <v>8.3000000000000004E-2</v>
      </c>
      <c r="L604" s="79">
        <v>0.1308</v>
      </c>
      <c r="M604" s="79">
        <v>0.14430000000000001</v>
      </c>
      <c r="N604" s="79">
        <v>0.15</v>
      </c>
      <c r="O604" s="14">
        <v>180</v>
      </c>
      <c r="P604" s="14">
        <v>60</v>
      </c>
      <c r="Q604" s="11">
        <v>1E-3</v>
      </c>
      <c r="R604" s="14">
        <v>3</v>
      </c>
      <c r="S604" s="14">
        <v>1500</v>
      </c>
      <c r="T604" s="11">
        <v>0.1</v>
      </c>
      <c r="U604" s="122">
        <v>206815</v>
      </c>
      <c r="V604" s="35"/>
      <c r="W604" s="99">
        <f t="shared" si="900"/>
        <v>2228</v>
      </c>
      <c r="X604" s="100">
        <f t="shared" si="901"/>
        <v>56.142200000000003</v>
      </c>
      <c r="Y604" s="100">
        <f t="shared" si="902"/>
        <v>12.5792</v>
      </c>
      <c r="Z604" s="22">
        <f t="shared" si="903"/>
        <v>8195</v>
      </c>
      <c r="AA604" s="35">
        <f t="shared" si="904"/>
        <v>0</v>
      </c>
      <c r="AB604" s="22">
        <f t="shared" si="899"/>
        <v>7</v>
      </c>
      <c r="AC604" s="118">
        <f>ROUND(I604+mwreg!$G$68/100,3)</f>
        <v>-0.36499999999999999</v>
      </c>
      <c r="AD604" s="83">
        <f>ROUND(J604+mwreg!$H$56/100,3)</f>
        <v>0.83599999999999997</v>
      </c>
      <c r="AE604" s="83">
        <f>ROUND(K604+mwreg!$H$56/100,3)</f>
        <v>8.3000000000000004E-2</v>
      </c>
      <c r="AF604" s="100">
        <f t="shared" si="911"/>
        <v>0.1308</v>
      </c>
      <c r="AG604" s="100">
        <f t="shared" si="912"/>
        <v>0.14430000000000001</v>
      </c>
      <c r="AH604" s="84">
        <f t="shared" si="913"/>
        <v>0.15</v>
      </c>
      <c r="AI604" s="82">
        <f t="shared" si="914"/>
        <v>180</v>
      </c>
      <c r="AJ604" s="82">
        <f t="shared" si="915"/>
        <v>60</v>
      </c>
      <c r="AK604" s="83">
        <f t="shared" si="916"/>
        <v>1E-3</v>
      </c>
      <c r="AL604" s="82">
        <f t="shared" si="917"/>
        <v>3</v>
      </c>
      <c r="AM604" s="82">
        <f t="shared" si="918"/>
        <v>1500</v>
      </c>
      <c r="AN604" s="83">
        <f t="shared" si="919"/>
        <v>0.1</v>
      </c>
      <c r="AO604" s="188">
        <f t="shared" si="920"/>
        <v>206815</v>
      </c>
    </row>
    <row r="605" spans="1:41" x14ac:dyDescent="0.2">
      <c r="A605" s="3" t="s">
        <v>296</v>
      </c>
      <c r="B605" s="3" t="s">
        <v>296</v>
      </c>
      <c r="C605" s="55">
        <v>2228</v>
      </c>
      <c r="D605" s="79">
        <v>56.142200000000003</v>
      </c>
      <c r="E605" s="79">
        <v>12.5792</v>
      </c>
      <c r="F605" s="14">
        <v>8195</v>
      </c>
      <c r="G605" s="10">
        <v>0</v>
      </c>
      <c r="H605" s="122">
        <v>8</v>
      </c>
      <c r="I605" s="165">
        <v>-0.38800000000000001</v>
      </c>
      <c r="J605" s="11">
        <v>0.91100000000000003</v>
      </c>
      <c r="K605" s="11">
        <v>5.8000000000000003E-2</v>
      </c>
      <c r="L605" s="79">
        <v>0.12</v>
      </c>
      <c r="M605" s="79">
        <v>0.16969999999999999</v>
      </c>
      <c r="N605" s="79">
        <v>0.17599999999999999</v>
      </c>
      <c r="O605" s="14">
        <v>180</v>
      </c>
      <c r="P605" s="14">
        <v>60</v>
      </c>
      <c r="Q605" s="11">
        <v>1E-3</v>
      </c>
      <c r="R605" s="14">
        <v>3</v>
      </c>
      <c r="S605" s="14">
        <v>1500</v>
      </c>
      <c r="T605" s="11">
        <v>0.1</v>
      </c>
      <c r="U605" s="122">
        <v>205653</v>
      </c>
      <c r="V605" s="35"/>
      <c r="W605" s="99">
        <f t="shared" si="900"/>
        <v>2228</v>
      </c>
      <c r="X605" s="100">
        <f t="shared" si="901"/>
        <v>56.142200000000003</v>
      </c>
      <c r="Y605" s="100">
        <f t="shared" si="902"/>
        <v>12.5792</v>
      </c>
      <c r="Z605" s="22">
        <f t="shared" si="903"/>
        <v>8195</v>
      </c>
      <c r="AA605" s="35">
        <f t="shared" si="904"/>
        <v>0</v>
      </c>
      <c r="AB605" s="22">
        <f t="shared" si="899"/>
        <v>8</v>
      </c>
      <c r="AC605" s="118">
        <f>ROUND(I605+mwreg!$G$68/100,3)</f>
        <v>-0.30599999999999999</v>
      </c>
      <c r="AD605" s="83">
        <f>ROUND(J605+mwreg!$H$56/100,3)</f>
        <v>0.91100000000000003</v>
      </c>
      <c r="AE605" s="83">
        <f>ROUND(K605+mwreg!$H$56/100,3)</f>
        <v>5.8000000000000003E-2</v>
      </c>
      <c r="AF605" s="100">
        <f t="shared" si="911"/>
        <v>0.12</v>
      </c>
      <c r="AG605" s="100">
        <f t="shared" si="912"/>
        <v>0.16969999999999999</v>
      </c>
      <c r="AH605" s="84">
        <f t="shared" si="913"/>
        <v>0.17599999999999999</v>
      </c>
      <c r="AI605" s="82">
        <f t="shared" si="914"/>
        <v>180</v>
      </c>
      <c r="AJ605" s="82">
        <f t="shared" si="915"/>
        <v>60</v>
      </c>
      <c r="AK605" s="83">
        <f t="shared" si="916"/>
        <v>1E-3</v>
      </c>
      <c r="AL605" s="82">
        <f t="shared" si="917"/>
        <v>3</v>
      </c>
      <c r="AM605" s="82">
        <f t="shared" si="918"/>
        <v>1500</v>
      </c>
      <c r="AN605" s="83">
        <f t="shared" si="919"/>
        <v>0.1</v>
      </c>
      <c r="AO605" s="188">
        <f t="shared" si="920"/>
        <v>205653</v>
      </c>
    </row>
    <row r="606" spans="1:41" x14ac:dyDescent="0.2">
      <c r="A606" s="3" t="s">
        <v>296</v>
      </c>
      <c r="B606" s="3" t="s">
        <v>296</v>
      </c>
      <c r="C606" s="55">
        <v>2228</v>
      </c>
      <c r="D606" s="79">
        <v>56.142200000000003</v>
      </c>
      <c r="E606" s="79">
        <v>12.5792</v>
      </c>
      <c r="F606" s="14">
        <v>8195</v>
      </c>
      <c r="G606" s="10">
        <v>0</v>
      </c>
      <c r="H606" s="122">
        <v>9</v>
      </c>
      <c r="I606" s="165">
        <v>-0.59599999999999997</v>
      </c>
      <c r="J606" s="11">
        <v>1.115</v>
      </c>
      <c r="K606" s="11">
        <v>0.106</v>
      </c>
      <c r="L606" s="79">
        <v>0.18160000000000001</v>
      </c>
      <c r="M606" s="79">
        <v>0.1133</v>
      </c>
      <c r="N606" s="79">
        <v>0.12</v>
      </c>
      <c r="O606" s="14">
        <v>180</v>
      </c>
      <c r="P606" s="14">
        <v>60</v>
      </c>
      <c r="Q606" s="11">
        <v>1E-3</v>
      </c>
      <c r="R606" s="14">
        <v>3</v>
      </c>
      <c r="S606" s="14">
        <v>1500</v>
      </c>
      <c r="T606" s="11">
        <v>0.1</v>
      </c>
      <c r="U606" s="122">
        <v>221545</v>
      </c>
      <c r="V606" s="35"/>
      <c r="W606" s="99">
        <f t="shared" si="900"/>
        <v>2228</v>
      </c>
      <c r="X606" s="100">
        <f t="shared" si="901"/>
        <v>56.142200000000003</v>
      </c>
      <c r="Y606" s="100">
        <f t="shared" si="902"/>
        <v>12.5792</v>
      </c>
      <c r="Z606" s="22">
        <f t="shared" si="903"/>
        <v>8195</v>
      </c>
      <c r="AA606" s="35">
        <f t="shared" si="904"/>
        <v>0</v>
      </c>
      <c r="AB606" s="22">
        <f t="shared" si="899"/>
        <v>9</v>
      </c>
      <c r="AC606" s="118">
        <f>ROUND(I606+mwreg!$G$68/100,3)</f>
        <v>-0.51400000000000001</v>
      </c>
      <c r="AD606" s="83">
        <f>ROUND(J606+mwreg!$H$56/100,3)</f>
        <v>1.115</v>
      </c>
      <c r="AE606" s="83">
        <f>ROUND(K606+mwreg!$H$56/100,3)</f>
        <v>0.106</v>
      </c>
      <c r="AF606" s="100">
        <f t="shared" si="911"/>
        <v>0.18160000000000001</v>
      </c>
      <c r="AG606" s="100">
        <f t="shared" si="912"/>
        <v>0.1133</v>
      </c>
      <c r="AH606" s="84">
        <f t="shared" si="913"/>
        <v>0.12</v>
      </c>
      <c r="AI606" s="82">
        <f t="shared" si="914"/>
        <v>180</v>
      </c>
      <c r="AJ606" s="82">
        <f t="shared" si="915"/>
        <v>60</v>
      </c>
      <c r="AK606" s="83">
        <f t="shared" si="916"/>
        <v>1E-3</v>
      </c>
      <c r="AL606" s="82">
        <f t="shared" si="917"/>
        <v>3</v>
      </c>
      <c r="AM606" s="82">
        <f t="shared" si="918"/>
        <v>1500</v>
      </c>
      <c r="AN606" s="83">
        <f t="shared" si="919"/>
        <v>0.1</v>
      </c>
      <c r="AO606" s="188">
        <f t="shared" si="920"/>
        <v>221545</v>
      </c>
    </row>
    <row r="607" spans="1:41" x14ac:dyDescent="0.2">
      <c r="A607" s="3" t="s">
        <v>296</v>
      </c>
      <c r="B607" s="3" t="s">
        <v>296</v>
      </c>
      <c r="C607" s="55">
        <v>2228</v>
      </c>
      <c r="D607" s="79">
        <v>56.142200000000003</v>
      </c>
      <c r="E607" s="79">
        <v>12.5792</v>
      </c>
      <c r="F607" s="14">
        <v>8195</v>
      </c>
      <c r="G607" s="10">
        <v>0</v>
      </c>
      <c r="H607" s="122">
        <v>10</v>
      </c>
      <c r="I607" s="165">
        <v>-0.94799999999999995</v>
      </c>
      <c r="J607" s="11">
        <v>1.242</v>
      </c>
      <c r="K607" s="11">
        <v>7.1999999999999995E-2</v>
      </c>
      <c r="L607" s="79">
        <v>0.19520000000000001</v>
      </c>
      <c r="M607" s="79">
        <v>0.1201</v>
      </c>
      <c r="N607" s="79">
        <v>0.128</v>
      </c>
      <c r="O607" s="14">
        <v>180</v>
      </c>
      <c r="P607" s="14">
        <v>60</v>
      </c>
      <c r="Q607" s="11">
        <v>1E-3</v>
      </c>
      <c r="R607" s="14">
        <v>3</v>
      </c>
      <c r="S607" s="14">
        <v>1500</v>
      </c>
      <c r="T607" s="11">
        <v>0.1</v>
      </c>
      <c r="U607" s="122">
        <v>250579</v>
      </c>
      <c r="V607" s="35"/>
      <c r="W607" s="99">
        <f t="shared" si="900"/>
        <v>2228</v>
      </c>
      <c r="X607" s="100">
        <f t="shared" si="901"/>
        <v>56.142200000000003</v>
      </c>
      <c r="Y607" s="100">
        <f t="shared" si="902"/>
        <v>12.5792</v>
      </c>
      <c r="Z607" s="22">
        <f t="shared" si="903"/>
        <v>8195</v>
      </c>
      <c r="AA607" s="35">
        <f t="shared" si="904"/>
        <v>0</v>
      </c>
      <c r="AB607" s="22">
        <f t="shared" si="899"/>
        <v>10</v>
      </c>
      <c r="AC607" s="118">
        <f>ROUND(I607+mwreg!$G$68/100,3)</f>
        <v>-0.86599999999999999</v>
      </c>
      <c r="AD607" s="83">
        <f>ROUND(J607+mwreg!$H$56/100,3)</f>
        <v>1.242</v>
      </c>
      <c r="AE607" s="83">
        <f>ROUND(K607+mwreg!$H$56/100,3)</f>
        <v>7.1999999999999995E-2</v>
      </c>
      <c r="AF607" s="100">
        <f t="shared" si="911"/>
        <v>0.19520000000000001</v>
      </c>
      <c r="AG607" s="100">
        <f t="shared" si="912"/>
        <v>0.1201</v>
      </c>
      <c r="AH607" s="84">
        <f t="shared" si="913"/>
        <v>0.128</v>
      </c>
      <c r="AI607" s="82">
        <f t="shared" si="914"/>
        <v>180</v>
      </c>
      <c r="AJ607" s="82">
        <f t="shared" si="915"/>
        <v>60</v>
      </c>
      <c r="AK607" s="83">
        <f t="shared" si="916"/>
        <v>1E-3</v>
      </c>
      <c r="AL607" s="82">
        <f t="shared" si="917"/>
        <v>3</v>
      </c>
      <c r="AM607" s="82">
        <f t="shared" si="918"/>
        <v>1500</v>
      </c>
      <c r="AN607" s="83">
        <f t="shared" si="919"/>
        <v>0.1</v>
      </c>
      <c r="AO607" s="188">
        <f t="shared" si="920"/>
        <v>250579</v>
      </c>
    </row>
    <row r="608" spans="1:41" x14ac:dyDescent="0.2">
      <c r="A608" s="3" t="s">
        <v>296</v>
      </c>
      <c r="B608" s="3" t="s">
        <v>296</v>
      </c>
      <c r="C608" s="55">
        <v>2228</v>
      </c>
      <c r="D608" s="79">
        <v>56.142200000000003</v>
      </c>
      <c r="E608" s="79">
        <v>12.5792</v>
      </c>
      <c r="F608" s="14">
        <v>8195</v>
      </c>
      <c r="G608" s="10">
        <v>0</v>
      </c>
      <c r="H608" s="122">
        <v>11</v>
      </c>
      <c r="I608" s="165">
        <v>-0.93799999999999994</v>
      </c>
      <c r="J608" s="11">
        <v>1.6559999999999999</v>
      </c>
      <c r="K608" s="11">
        <v>3.6999999999999998E-2</v>
      </c>
      <c r="L608" s="79">
        <v>0.2278</v>
      </c>
      <c r="M608" s="79">
        <v>0.1147</v>
      </c>
      <c r="N608" s="79">
        <v>0.123</v>
      </c>
      <c r="O608" s="14">
        <v>180</v>
      </c>
      <c r="P608" s="14">
        <v>60</v>
      </c>
      <c r="Q608" s="11">
        <v>1E-3</v>
      </c>
      <c r="R608" s="14">
        <v>3</v>
      </c>
      <c r="S608" s="14">
        <v>1500</v>
      </c>
      <c r="T608" s="11">
        <v>0.1</v>
      </c>
      <c r="U608" s="122">
        <v>241838</v>
      </c>
      <c r="V608" s="35"/>
      <c r="W608" s="99">
        <f t="shared" si="900"/>
        <v>2228</v>
      </c>
      <c r="X608" s="100">
        <f t="shared" si="901"/>
        <v>56.142200000000003</v>
      </c>
      <c r="Y608" s="100">
        <f t="shared" si="902"/>
        <v>12.5792</v>
      </c>
      <c r="Z608" s="22">
        <f t="shared" si="903"/>
        <v>8195</v>
      </c>
      <c r="AA608" s="35">
        <f t="shared" si="904"/>
        <v>0</v>
      </c>
      <c r="AB608" s="22">
        <f t="shared" si="899"/>
        <v>11</v>
      </c>
      <c r="AC608" s="118">
        <f>ROUND(I608+mwreg!$G$68/100,3)</f>
        <v>-0.85599999999999998</v>
      </c>
      <c r="AD608" s="83">
        <f>ROUND(J608+mwreg!$H$56/100,3)</f>
        <v>1.6559999999999999</v>
      </c>
      <c r="AE608" s="83">
        <f>ROUND(K608+mwreg!$H$56/100,3)</f>
        <v>3.6999999999999998E-2</v>
      </c>
      <c r="AF608" s="100">
        <f t="shared" si="911"/>
        <v>0.2278</v>
      </c>
      <c r="AG608" s="100">
        <f t="shared" si="912"/>
        <v>0.1147</v>
      </c>
      <c r="AH608" s="84">
        <f t="shared" si="913"/>
        <v>0.123</v>
      </c>
      <c r="AI608" s="82">
        <f t="shared" si="914"/>
        <v>180</v>
      </c>
      <c r="AJ608" s="82">
        <f t="shared" si="915"/>
        <v>60</v>
      </c>
      <c r="AK608" s="83">
        <f t="shared" si="916"/>
        <v>1E-3</v>
      </c>
      <c r="AL608" s="82">
        <f t="shared" si="917"/>
        <v>3</v>
      </c>
      <c r="AM608" s="82">
        <f t="shared" si="918"/>
        <v>1500</v>
      </c>
      <c r="AN608" s="83">
        <f t="shared" si="919"/>
        <v>0.1</v>
      </c>
      <c r="AO608" s="188">
        <f t="shared" si="920"/>
        <v>241838</v>
      </c>
    </row>
    <row r="609" spans="1:41" x14ac:dyDescent="0.2">
      <c r="A609" s="3" t="s">
        <v>296</v>
      </c>
      <c r="B609" s="3" t="s">
        <v>296</v>
      </c>
      <c r="C609" s="55">
        <v>2228</v>
      </c>
      <c r="D609" s="79">
        <v>56.142200000000003</v>
      </c>
      <c r="E609" s="79">
        <v>12.5792</v>
      </c>
      <c r="F609" s="14">
        <v>8195</v>
      </c>
      <c r="G609" s="10">
        <v>0</v>
      </c>
      <c r="H609" s="122">
        <v>12</v>
      </c>
      <c r="I609" s="165">
        <v>-0.97099999999999997</v>
      </c>
      <c r="J609" s="11">
        <v>1.675</v>
      </c>
      <c r="K609" s="11">
        <v>7.2999999999999995E-2</v>
      </c>
      <c r="L609" s="79">
        <v>0.24229999999999999</v>
      </c>
      <c r="M609" s="79">
        <v>0.12239999999999999</v>
      </c>
      <c r="N609" s="79">
        <v>0.13</v>
      </c>
      <c r="O609" s="14">
        <v>180</v>
      </c>
      <c r="P609" s="14">
        <v>60</v>
      </c>
      <c r="Q609" s="11">
        <v>1E-3</v>
      </c>
      <c r="R609" s="14">
        <v>3</v>
      </c>
      <c r="S609" s="14">
        <v>1500</v>
      </c>
      <c r="T609" s="11">
        <v>0.1</v>
      </c>
      <c r="U609" s="122">
        <v>212960</v>
      </c>
      <c r="V609" s="35"/>
      <c r="W609" s="99">
        <f t="shared" si="900"/>
        <v>2228</v>
      </c>
      <c r="X609" s="100">
        <f t="shared" si="901"/>
        <v>56.142200000000003</v>
      </c>
      <c r="Y609" s="100">
        <f t="shared" si="902"/>
        <v>12.5792</v>
      </c>
      <c r="Z609" s="22">
        <f t="shared" si="903"/>
        <v>8195</v>
      </c>
      <c r="AA609" s="35">
        <f t="shared" si="904"/>
        <v>0</v>
      </c>
      <c r="AB609" s="22">
        <f t="shared" si="899"/>
        <v>12</v>
      </c>
      <c r="AC609" s="118">
        <f>ROUND(I609+mwreg!$G$68/100,3)</f>
        <v>-0.88900000000000001</v>
      </c>
      <c r="AD609" s="83">
        <f>ROUND(J609+mwreg!$H$56/100,3)</f>
        <v>1.675</v>
      </c>
      <c r="AE609" s="83">
        <f>ROUND(K609+mwreg!$H$56/100,3)</f>
        <v>7.2999999999999995E-2</v>
      </c>
      <c r="AF609" s="100">
        <f t="shared" si="911"/>
        <v>0.24229999999999999</v>
      </c>
      <c r="AG609" s="100">
        <f t="shared" si="912"/>
        <v>0.12239999999999999</v>
      </c>
      <c r="AH609" s="84">
        <f t="shared" si="913"/>
        <v>0.13</v>
      </c>
      <c r="AI609" s="82">
        <f t="shared" si="914"/>
        <v>180</v>
      </c>
      <c r="AJ609" s="82">
        <f t="shared" si="915"/>
        <v>60</v>
      </c>
      <c r="AK609" s="83">
        <f t="shared" si="916"/>
        <v>1E-3</v>
      </c>
      <c r="AL609" s="82">
        <f t="shared" si="917"/>
        <v>3</v>
      </c>
      <c r="AM609" s="82">
        <f t="shared" si="918"/>
        <v>1500</v>
      </c>
      <c r="AN609" s="83">
        <f t="shared" si="919"/>
        <v>0.1</v>
      </c>
      <c r="AO609" s="188">
        <f t="shared" si="920"/>
        <v>212960</v>
      </c>
    </row>
    <row r="610" spans="1:41" x14ac:dyDescent="0.2">
      <c r="A610" s="3" t="str">
        <f>stat_uppg!A59</f>
        <v>2542/33082</v>
      </c>
      <c r="B610" s="3" t="str">
        <f>stat_uppg!B59</f>
        <v>Ängelholm (SMHI) nedlagd</v>
      </c>
      <c r="C610" s="52">
        <v>2542</v>
      </c>
      <c r="D610" s="105">
        <v>56.298000000000002</v>
      </c>
      <c r="E610" s="105">
        <v>12.7865</v>
      </c>
      <c r="F610" s="20">
        <v>8195</v>
      </c>
      <c r="G610" s="18">
        <v>0</v>
      </c>
      <c r="H610" s="53">
        <v>1</v>
      </c>
      <c r="I610" s="167">
        <f t="shared" ref="I610:K620" si="921">ROUND(I598,3)</f>
        <v>-1.1479999999999999</v>
      </c>
      <c r="J610" s="104">
        <f t="shared" si="921"/>
        <v>1.504</v>
      </c>
      <c r="K610" s="104">
        <f t="shared" si="921"/>
        <v>7.0000000000000007E-2</v>
      </c>
      <c r="L610" s="105">
        <f>ROUND(L598,4)</f>
        <v>0.27089999999999997</v>
      </c>
      <c r="M610" s="105">
        <f>ROUND(M598,4)</f>
        <v>9.06E-2</v>
      </c>
      <c r="N610" s="105">
        <f>ROUND(N598,4)</f>
        <v>9.8000000000000004E-2</v>
      </c>
      <c r="O610" s="20">
        <f t="shared" ref="O610:P621" si="922">ROUND(O598,0)</f>
        <v>180</v>
      </c>
      <c r="P610" s="20">
        <f t="shared" si="922"/>
        <v>60</v>
      </c>
      <c r="Q610" s="104">
        <f>ROUND(Q598,3)</f>
        <v>1E-3</v>
      </c>
      <c r="R610" s="20">
        <f t="shared" ref="R610:S621" si="923">ROUND(R598,0)</f>
        <v>3</v>
      </c>
      <c r="S610" s="20">
        <f t="shared" si="923"/>
        <v>1500</v>
      </c>
      <c r="T610" s="104">
        <f>ROUND(T598,3)</f>
        <v>0.1</v>
      </c>
      <c r="U610" s="123" t="s">
        <v>282</v>
      </c>
      <c r="V610" s="21"/>
      <c r="W610" s="58">
        <f t="shared" si="900"/>
        <v>2542</v>
      </c>
      <c r="X610" s="102">
        <f t="shared" si="901"/>
        <v>56.298000000000002</v>
      </c>
      <c r="Y610" s="102">
        <f t="shared" si="902"/>
        <v>12.7865</v>
      </c>
      <c r="Z610" s="21">
        <f t="shared" si="903"/>
        <v>8195</v>
      </c>
      <c r="AA610" s="44">
        <f t="shared" si="904"/>
        <v>0</v>
      </c>
      <c r="AB610" s="21">
        <f t="shared" si="899"/>
        <v>1</v>
      </c>
      <c r="AC610" s="119">
        <f>ROUND(I610+mwreg!$G$69/100,3)</f>
        <v>-1.0740000000000001</v>
      </c>
      <c r="AD610" s="108">
        <f>ROUND(J610+mwreg!$G$69/100,3)</f>
        <v>1.5780000000000001</v>
      </c>
      <c r="AE610" s="108">
        <f>ROUND(K610+mwreg!$G$69/100,3)</f>
        <v>0.14399999999999999</v>
      </c>
      <c r="AF610" s="102">
        <f>L610</f>
        <v>0.27089999999999997</v>
      </c>
      <c r="AG610" s="102">
        <f>M610</f>
        <v>9.06E-2</v>
      </c>
      <c r="AH610" s="109">
        <f t="shared" si="913"/>
        <v>9.8000000000000004E-2</v>
      </c>
      <c r="AI610" s="110">
        <f t="shared" si="914"/>
        <v>180</v>
      </c>
      <c r="AJ610" s="110">
        <f t="shared" si="915"/>
        <v>60</v>
      </c>
      <c r="AK610" s="108">
        <f t="shared" si="916"/>
        <v>1E-3</v>
      </c>
      <c r="AL610" s="110">
        <f t="shared" si="917"/>
        <v>3</v>
      </c>
      <c r="AM610" s="110">
        <f t="shared" si="918"/>
        <v>1500</v>
      </c>
      <c r="AN610" s="108">
        <f t="shared" si="919"/>
        <v>0.1</v>
      </c>
      <c r="AO610" s="186" t="str">
        <f t="shared" si="920"/>
        <v>NaN</v>
      </c>
    </row>
    <row r="611" spans="1:41" x14ac:dyDescent="0.2">
      <c r="A611" s="3" t="s">
        <v>296</v>
      </c>
      <c r="B611" s="3" t="s">
        <v>296</v>
      </c>
      <c r="C611" s="52">
        <v>2542</v>
      </c>
      <c r="D611" s="105">
        <v>56.298000000000002</v>
      </c>
      <c r="E611" s="105">
        <v>12.7865</v>
      </c>
      <c r="F611" s="20">
        <v>8195</v>
      </c>
      <c r="G611" s="18">
        <v>0</v>
      </c>
      <c r="H611" s="53">
        <v>2</v>
      </c>
      <c r="I611" s="167">
        <f t="shared" si="921"/>
        <v>-0.94699999999999995</v>
      </c>
      <c r="J611" s="104">
        <f t="shared" si="921"/>
        <v>1.2410000000000001</v>
      </c>
      <c r="K611" s="104">
        <f t="shared" si="921"/>
        <v>1.2999999999999999E-2</v>
      </c>
      <c r="L611" s="105">
        <f t="shared" ref="L611:N621" si="924">ROUND(L599,4)</f>
        <v>0.2545</v>
      </c>
      <c r="M611" s="105">
        <f t="shared" si="924"/>
        <v>0.21329999999999999</v>
      </c>
      <c r="N611" s="105">
        <f t="shared" si="924"/>
        <v>0.22</v>
      </c>
      <c r="O611" s="20">
        <f t="shared" si="922"/>
        <v>180</v>
      </c>
      <c r="P611" s="20">
        <f t="shared" si="922"/>
        <v>60</v>
      </c>
      <c r="Q611" s="104">
        <f t="shared" ref="Q611:Q621" si="925">ROUND(Q599,3)</f>
        <v>1E-3</v>
      </c>
      <c r="R611" s="20">
        <f t="shared" si="923"/>
        <v>3</v>
      </c>
      <c r="S611" s="20">
        <f t="shared" si="923"/>
        <v>1500</v>
      </c>
      <c r="T611" s="104">
        <f t="shared" ref="T611:T621" si="926">ROUND(T599,3)</f>
        <v>0.1</v>
      </c>
      <c r="U611" s="123" t="s">
        <v>282</v>
      </c>
      <c r="V611" s="21"/>
      <c r="W611" s="58">
        <f t="shared" si="900"/>
        <v>2542</v>
      </c>
      <c r="X611" s="102">
        <f t="shared" si="901"/>
        <v>56.298000000000002</v>
      </c>
      <c r="Y611" s="102">
        <f t="shared" si="902"/>
        <v>12.7865</v>
      </c>
      <c r="Z611" s="21">
        <f t="shared" si="903"/>
        <v>8195</v>
      </c>
      <c r="AA611" s="44">
        <f t="shared" si="904"/>
        <v>0</v>
      </c>
      <c r="AB611" s="21">
        <f t="shared" si="899"/>
        <v>2</v>
      </c>
      <c r="AC611" s="119">
        <f>ROUND(I611+mwreg!$G$69/100,3)</f>
        <v>-0.873</v>
      </c>
      <c r="AD611" s="108">
        <f>ROUND(J611+mwreg!$G$69/100,3)</f>
        <v>1.3149999999999999</v>
      </c>
      <c r="AE611" s="108">
        <f>ROUND(K611+mwreg!$G$69/100,3)</f>
        <v>8.6999999999999994E-2</v>
      </c>
      <c r="AF611" s="102">
        <f t="shared" ref="AF611:AF674" si="927">L611</f>
        <v>0.2545</v>
      </c>
      <c r="AG611" s="102">
        <f t="shared" ref="AG611:AG674" si="928">M611</f>
        <v>0.21329999999999999</v>
      </c>
      <c r="AH611" s="109">
        <f t="shared" si="913"/>
        <v>0.22</v>
      </c>
      <c r="AI611" s="110">
        <f t="shared" si="914"/>
        <v>180</v>
      </c>
      <c r="AJ611" s="110">
        <f t="shared" si="915"/>
        <v>60</v>
      </c>
      <c r="AK611" s="108">
        <f t="shared" si="916"/>
        <v>1E-3</v>
      </c>
      <c r="AL611" s="110">
        <f t="shared" si="917"/>
        <v>3</v>
      </c>
      <c r="AM611" s="110">
        <f t="shared" si="918"/>
        <v>1500</v>
      </c>
      <c r="AN611" s="108">
        <f t="shared" si="919"/>
        <v>0.1</v>
      </c>
      <c r="AO611" s="186" t="str">
        <f t="shared" si="920"/>
        <v>NaN</v>
      </c>
    </row>
    <row r="612" spans="1:41" x14ac:dyDescent="0.2">
      <c r="A612" s="3" t="s">
        <v>296</v>
      </c>
      <c r="B612" s="3" t="s">
        <v>296</v>
      </c>
      <c r="C612" s="52">
        <v>2542</v>
      </c>
      <c r="D612" s="105">
        <v>56.298000000000002</v>
      </c>
      <c r="E612" s="105">
        <v>12.7865</v>
      </c>
      <c r="F612" s="20">
        <v>8195</v>
      </c>
      <c r="G612" s="18">
        <v>0</v>
      </c>
      <c r="H612" s="53">
        <v>3</v>
      </c>
      <c r="I612" s="167">
        <f t="shared" si="921"/>
        <v>-0.90700000000000003</v>
      </c>
      <c r="J612" s="104">
        <f t="shared" si="921"/>
        <v>1.353</v>
      </c>
      <c r="K612" s="104">
        <f t="shared" si="921"/>
        <v>-2.8000000000000001E-2</v>
      </c>
      <c r="L612" s="105">
        <f t="shared" si="924"/>
        <v>0.22140000000000001</v>
      </c>
      <c r="M612" s="105">
        <f t="shared" si="924"/>
        <v>0.1139</v>
      </c>
      <c r="N612" s="105">
        <f t="shared" si="924"/>
        <v>0.12</v>
      </c>
      <c r="O612" s="20">
        <f t="shared" si="922"/>
        <v>180</v>
      </c>
      <c r="P612" s="20">
        <f t="shared" si="922"/>
        <v>60</v>
      </c>
      <c r="Q612" s="104">
        <f t="shared" si="925"/>
        <v>1E-3</v>
      </c>
      <c r="R612" s="20">
        <f t="shared" si="923"/>
        <v>3</v>
      </c>
      <c r="S612" s="20">
        <f t="shared" si="923"/>
        <v>1500</v>
      </c>
      <c r="T612" s="104">
        <f t="shared" si="926"/>
        <v>0.1</v>
      </c>
      <c r="U612" s="123" t="s">
        <v>282</v>
      </c>
      <c r="V612" s="21"/>
      <c r="W612" s="58">
        <f t="shared" si="900"/>
        <v>2542</v>
      </c>
      <c r="X612" s="102">
        <f t="shared" si="901"/>
        <v>56.298000000000002</v>
      </c>
      <c r="Y612" s="102">
        <f t="shared" si="902"/>
        <v>12.7865</v>
      </c>
      <c r="Z612" s="21">
        <f t="shared" si="903"/>
        <v>8195</v>
      </c>
      <c r="AA612" s="44">
        <f t="shared" si="904"/>
        <v>0</v>
      </c>
      <c r="AB612" s="21">
        <f t="shared" si="899"/>
        <v>3</v>
      </c>
      <c r="AC612" s="119">
        <f>ROUND(I612+mwreg!$G$69/100,3)</f>
        <v>-0.83299999999999996</v>
      </c>
      <c r="AD612" s="108">
        <f>ROUND(J612+mwreg!$G$69/100,3)</f>
        <v>1.427</v>
      </c>
      <c r="AE612" s="108">
        <f>ROUND(K612+mwreg!$G$69/100,3)</f>
        <v>4.5999999999999999E-2</v>
      </c>
      <c r="AF612" s="102">
        <f t="shared" si="927"/>
        <v>0.22140000000000001</v>
      </c>
      <c r="AG612" s="102">
        <f t="shared" si="928"/>
        <v>0.1139</v>
      </c>
      <c r="AH612" s="109">
        <f t="shared" si="913"/>
        <v>0.12</v>
      </c>
      <c r="AI612" s="110">
        <f t="shared" si="914"/>
        <v>180</v>
      </c>
      <c r="AJ612" s="110">
        <f t="shared" si="915"/>
        <v>60</v>
      </c>
      <c r="AK612" s="108">
        <f t="shared" si="916"/>
        <v>1E-3</v>
      </c>
      <c r="AL612" s="110">
        <f t="shared" si="917"/>
        <v>3</v>
      </c>
      <c r="AM612" s="110">
        <f t="shared" si="918"/>
        <v>1500</v>
      </c>
      <c r="AN612" s="108">
        <f t="shared" si="919"/>
        <v>0.1</v>
      </c>
      <c r="AO612" s="186" t="str">
        <f t="shared" si="920"/>
        <v>NaN</v>
      </c>
    </row>
    <row r="613" spans="1:41" x14ac:dyDescent="0.2">
      <c r="A613" s="3" t="s">
        <v>296</v>
      </c>
      <c r="B613" s="3" t="s">
        <v>296</v>
      </c>
      <c r="C613" s="52">
        <v>2542</v>
      </c>
      <c r="D613" s="105">
        <v>56.298000000000002</v>
      </c>
      <c r="E613" s="105">
        <v>12.7865</v>
      </c>
      <c r="F613" s="20">
        <v>8195</v>
      </c>
      <c r="G613" s="18">
        <v>0</v>
      </c>
      <c r="H613" s="53">
        <v>4</v>
      </c>
      <c r="I613" s="167">
        <f t="shared" si="921"/>
        <v>-0.82599999999999996</v>
      </c>
      <c r="J613" s="104">
        <f t="shared" si="921"/>
        <v>0.93100000000000005</v>
      </c>
      <c r="K613" s="104">
        <f t="shared" si="921"/>
        <v>-0.08</v>
      </c>
      <c r="L613" s="105">
        <f t="shared" si="924"/>
        <v>0.1595</v>
      </c>
      <c r="M613" s="105">
        <f t="shared" si="924"/>
        <v>0.24879999999999999</v>
      </c>
      <c r="N613" s="105">
        <f t="shared" si="924"/>
        <v>0.255</v>
      </c>
      <c r="O613" s="20">
        <f t="shared" si="922"/>
        <v>180</v>
      </c>
      <c r="P613" s="20">
        <f t="shared" si="922"/>
        <v>60</v>
      </c>
      <c r="Q613" s="104">
        <f t="shared" si="925"/>
        <v>1E-3</v>
      </c>
      <c r="R613" s="20">
        <f t="shared" si="923"/>
        <v>3</v>
      </c>
      <c r="S613" s="20">
        <f t="shared" si="923"/>
        <v>1500</v>
      </c>
      <c r="T613" s="104">
        <f t="shared" si="926"/>
        <v>0.1</v>
      </c>
      <c r="U613" s="123" t="s">
        <v>282</v>
      </c>
      <c r="V613" s="21"/>
      <c r="W613" s="58">
        <f t="shared" si="900"/>
        <v>2542</v>
      </c>
      <c r="X613" s="102">
        <f t="shared" si="901"/>
        <v>56.298000000000002</v>
      </c>
      <c r="Y613" s="102">
        <f t="shared" si="902"/>
        <v>12.7865</v>
      </c>
      <c r="Z613" s="21">
        <f t="shared" si="903"/>
        <v>8195</v>
      </c>
      <c r="AA613" s="44">
        <f t="shared" si="904"/>
        <v>0</v>
      </c>
      <c r="AB613" s="21">
        <f t="shared" si="899"/>
        <v>4</v>
      </c>
      <c r="AC613" s="119">
        <f>ROUND(I613+mwreg!$G$69/100,3)</f>
        <v>-0.752</v>
      </c>
      <c r="AD613" s="108">
        <f>ROUND(J613+mwreg!$G$69/100,3)</f>
        <v>1.0049999999999999</v>
      </c>
      <c r="AE613" s="108">
        <f>ROUND(K613+mwreg!$G$69/100,3)</f>
        <v>-6.0000000000000001E-3</v>
      </c>
      <c r="AF613" s="102">
        <f t="shared" si="927"/>
        <v>0.1595</v>
      </c>
      <c r="AG613" s="102">
        <f t="shared" si="928"/>
        <v>0.24879999999999999</v>
      </c>
      <c r="AH613" s="109">
        <f t="shared" si="913"/>
        <v>0.255</v>
      </c>
      <c r="AI613" s="110">
        <f t="shared" si="914"/>
        <v>180</v>
      </c>
      <c r="AJ613" s="110">
        <f t="shared" si="915"/>
        <v>60</v>
      </c>
      <c r="AK613" s="108">
        <f t="shared" si="916"/>
        <v>1E-3</v>
      </c>
      <c r="AL613" s="110">
        <f t="shared" si="917"/>
        <v>3</v>
      </c>
      <c r="AM613" s="110">
        <f t="shared" si="918"/>
        <v>1500</v>
      </c>
      <c r="AN613" s="108">
        <f t="shared" si="919"/>
        <v>0.1</v>
      </c>
      <c r="AO613" s="186" t="str">
        <f t="shared" si="920"/>
        <v>NaN</v>
      </c>
    </row>
    <row r="614" spans="1:41" x14ac:dyDescent="0.2">
      <c r="A614" s="3" t="s">
        <v>296</v>
      </c>
      <c r="B614" s="3" t="s">
        <v>296</v>
      </c>
      <c r="C614" s="52">
        <v>2542</v>
      </c>
      <c r="D614" s="105">
        <v>56.298000000000002</v>
      </c>
      <c r="E614" s="105">
        <v>12.7865</v>
      </c>
      <c r="F614" s="20">
        <v>8195</v>
      </c>
      <c r="G614" s="18">
        <v>0</v>
      </c>
      <c r="H614" s="53">
        <v>5</v>
      </c>
      <c r="I614" s="167">
        <f t="shared" si="921"/>
        <v>-0.56699999999999995</v>
      </c>
      <c r="J614" s="104">
        <f t="shared" si="921"/>
        <v>0.56999999999999995</v>
      </c>
      <c r="K614" s="104">
        <f t="shared" si="921"/>
        <v>-3.5000000000000003E-2</v>
      </c>
      <c r="L614" s="105">
        <f t="shared" si="924"/>
        <v>0.1343</v>
      </c>
      <c r="M614" s="105">
        <f t="shared" si="924"/>
        <v>0.10829999999999999</v>
      </c>
      <c r="N614" s="105">
        <f t="shared" si="924"/>
        <v>0.114</v>
      </c>
      <c r="O614" s="20">
        <f t="shared" si="922"/>
        <v>180</v>
      </c>
      <c r="P614" s="20">
        <f t="shared" si="922"/>
        <v>60</v>
      </c>
      <c r="Q614" s="104">
        <f t="shared" si="925"/>
        <v>1E-3</v>
      </c>
      <c r="R614" s="20">
        <f t="shared" si="923"/>
        <v>3</v>
      </c>
      <c r="S614" s="20">
        <f t="shared" si="923"/>
        <v>1500</v>
      </c>
      <c r="T614" s="104">
        <f t="shared" si="926"/>
        <v>0.1</v>
      </c>
      <c r="U614" s="123" t="s">
        <v>282</v>
      </c>
      <c r="V614" s="21"/>
      <c r="W614" s="58">
        <f t="shared" si="900"/>
        <v>2542</v>
      </c>
      <c r="X614" s="102">
        <f t="shared" si="901"/>
        <v>56.298000000000002</v>
      </c>
      <c r="Y614" s="102">
        <f t="shared" si="902"/>
        <v>12.7865</v>
      </c>
      <c r="Z614" s="21">
        <f t="shared" si="903"/>
        <v>8195</v>
      </c>
      <c r="AA614" s="44">
        <f t="shared" si="904"/>
        <v>0</v>
      </c>
      <c r="AB614" s="21">
        <f t="shared" si="899"/>
        <v>5</v>
      </c>
      <c r="AC614" s="119">
        <f>ROUND(I614+mwreg!$G$69/100,3)</f>
        <v>-0.49299999999999999</v>
      </c>
      <c r="AD614" s="108">
        <f>ROUND(J614+mwreg!$G$69/100,3)</f>
        <v>0.64400000000000002</v>
      </c>
      <c r="AE614" s="108">
        <f>ROUND(K614+mwreg!$G$69/100,3)</f>
        <v>3.9E-2</v>
      </c>
      <c r="AF614" s="102">
        <f t="shared" si="927"/>
        <v>0.1343</v>
      </c>
      <c r="AG614" s="102">
        <f t="shared" si="928"/>
        <v>0.10829999999999999</v>
      </c>
      <c r="AH614" s="109">
        <f t="shared" si="913"/>
        <v>0.114</v>
      </c>
      <c r="AI614" s="110">
        <f t="shared" si="914"/>
        <v>180</v>
      </c>
      <c r="AJ614" s="110">
        <f t="shared" si="915"/>
        <v>60</v>
      </c>
      <c r="AK614" s="108">
        <f t="shared" si="916"/>
        <v>1E-3</v>
      </c>
      <c r="AL614" s="110">
        <f t="shared" si="917"/>
        <v>3</v>
      </c>
      <c r="AM614" s="110">
        <f t="shared" si="918"/>
        <v>1500</v>
      </c>
      <c r="AN614" s="108">
        <f t="shared" si="919"/>
        <v>0.1</v>
      </c>
      <c r="AO614" s="186" t="str">
        <f t="shared" si="920"/>
        <v>NaN</v>
      </c>
    </row>
    <row r="615" spans="1:41" x14ac:dyDescent="0.2">
      <c r="A615" s="3" t="s">
        <v>296</v>
      </c>
      <c r="B615" s="3" t="s">
        <v>296</v>
      </c>
      <c r="C615" s="52">
        <v>2542</v>
      </c>
      <c r="D615" s="105">
        <v>56.298000000000002</v>
      </c>
      <c r="E615" s="105">
        <v>12.7865</v>
      </c>
      <c r="F615" s="20">
        <v>8195</v>
      </c>
      <c r="G615" s="18">
        <v>0</v>
      </c>
      <c r="H615" s="53">
        <v>6</v>
      </c>
      <c r="I615" s="167">
        <f t="shared" si="921"/>
        <v>-0.48699999999999999</v>
      </c>
      <c r="J615" s="104">
        <f t="shared" si="921"/>
        <v>0.65800000000000003</v>
      </c>
      <c r="K615" s="104">
        <f t="shared" si="921"/>
        <v>-4.0000000000000001E-3</v>
      </c>
      <c r="L615" s="105">
        <f t="shared" si="924"/>
        <v>0.1225</v>
      </c>
      <c r="M615" s="105">
        <f t="shared" si="924"/>
        <v>0.24360000000000001</v>
      </c>
      <c r="N615" s="105">
        <f t="shared" si="924"/>
        <v>0.25</v>
      </c>
      <c r="O615" s="20">
        <f t="shared" si="922"/>
        <v>180</v>
      </c>
      <c r="P615" s="20">
        <f t="shared" si="922"/>
        <v>60</v>
      </c>
      <c r="Q615" s="104">
        <f t="shared" si="925"/>
        <v>1E-3</v>
      </c>
      <c r="R615" s="20">
        <f t="shared" si="923"/>
        <v>3</v>
      </c>
      <c r="S615" s="20">
        <f t="shared" si="923"/>
        <v>1500</v>
      </c>
      <c r="T615" s="104">
        <f t="shared" si="926"/>
        <v>0.1</v>
      </c>
      <c r="U615" s="123" t="s">
        <v>282</v>
      </c>
      <c r="V615" s="21"/>
      <c r="W615" s="58">
        <f t="shared" si="900"/>
        <v>2542</v>
      </c>
      <c r="X615" s="102">
        <f t="shared" si="901"/>
        <v>56.298000000000002</v>
      </c>
      <c r="Y615" s="102">
        <f t="shared" si="902"/>
        <v>12.7865</v>
      </c>
      <c r="Z615" s="21">
        <f t="shared" si="903"/>
        <v>8195</v>
      </c>
      <c r="AA615" s="44">
        <f t="shared" si="904"/>
        <v>0</v>
      </c>
      <c r="AB615" s="21">
        <f t="shared" si="899"/>
        <v>6</v>
      </c>
      <c r="AC615" s="119">
        <f>ROUND(I615+mwreg!$G$69/100,3)</f>
        <v>-0.41299999999999998</v>
      </c>
      <c r="AD615" s="108">
        <f>ROUND(J615+mwreg!$G$69/100,3)</f>
        <v>0.73199999999999998</v>
      </c>
      <c r="AE615" s="108">
        <f>ROUND(K615+mwreg!$G$69/100,3)</f>
        <v>7.0000000000000007E-2</v>
      </c>
      <c r="AF615" s="102">
        <f t="shared" si="927"/>
        <v>0.1225</v>
      </c>
      <c r="AG615" s="102">
        <f t="shared" si="928"/>
        <v>0.24360000000000001</v>
      </c>
      <c r="AH615" s="109">
        <f t="shared" si="913"/>
        <v>0.25</v>
      </c>
      <c r="AI615" s="110">
        <f t="shared" si="914"/>
        <v>180</v>
      </c>
      <c r="AJ615" s="110">
        <f t="shared" si="915"/>
        <v>60</v>
      </c>
      <c r="AK615" s="108">
        <f t="shared" si="916"/>
        <v>1E-3</v>
      </c>
      <c r="AL615" s="110">
        <f t="shared" si="917"/>
        <v>3</v>
      </c>
      <c r="AM615" s="110">
        <f t="shared" si="918"/>
        <v>1500</v>
      </c>
      <c r="AN615" s="108">
        <f t="shared" si="919"/>
        <v>0.1</v>
      </c>
      <c r="AO615" s="186" t="str">
        <f t="shared" si="920"/>
        <v>NaN</v>
      </c>
    </row>
    <row r="616" spans="1:41" x14ac:dyDescent="0.2">
      <c r="A616" s="3" t="s">
        <v>296</v>
      </c>
      <c r="B616" s="3" t="s">
        <v>296</v>
      </c>
      <c r="C616" s="52">
        <v>2542</v>
      </c>
      <c r="D616" s="105">
        <v>56.298000000000002</v>
      </c>
      <c r="E616" s="105">
        <v>12.7865</v>
      </c>
      <c r="F616" s="20">
        <v>8195</v>
      </c>
      <c r="G616" s="18">
        <v>0</v>
      </c>
      <c r="H616" s="53">
        <v>7</v>
      </c>
      <c r="I616" s="167">
        <f t="shared" si="921"/>
        <v>-0.44700000000000001</v>
      </c>
      <c r="J616" s="104">
        <f t="shared" si="921"/>
        <v>0.83599999999999997</v>
      </c>
      <c r="K616" s="104">
        <f t="shared" si="921"/>
        <v>8.3000000000000004E-2</v>
      </c>
      <c r="L616" s="105">
        <f t="shared" si="924"/>
        <v>0.1308</v>
      </c>
      <c r="M616" s="105">
        <f t="shared" si="924"/>
        <v>0.14430000000000001</v>
      </c>
      <c r="N616" s="105">
        <f t="shared" si="924"/>
        <v>0.15</v>
      </c>
      <c r="O616" s="20">
        <f t="shared" si="922"/>
        <v>180</v>
      </c>
      <c r="P616" s="20">
        <f t="shared" si="922"/>
        <v>60</v>
      </c>
      <c r="Q616" s="104">
        <f t="shared" si="925"/>
        <v>1E-3</v>
      </c>
      <c r="R616" s="20">
        <f t="shared" si="923"/>
        <v>3</v>
      </c>
      <c r="S616" s="20">
        <f t="shared" si="923"/>
        <v>1500</v>
      </c>
      <c r="T616" s="104">
        <f t="shared" si="926"/>
        <v>0.1</v>
      </c>
      <c r="U616" s="123" t="s">
        <v>282</v>
      </c>
      <c r="V616" s="21"/>
      <c r="W616" s="58">
        <f t="shared" si="900"/>
        <v>2542</v>
      </c>
      <c r="X616" s="102">
        <f t="shared" si="901"/>
        <v>56.298000000000002</v>
      </c>
      <c r="Y616" s="102">
        <f t="shared" si="902"/>
        <v>12.7865</v>
      </c>
      <c r="Z616" s="21">
        <f t="shared" si="903"/>
        <v>8195</v>
      </c>
      <c r="AA616" s="44">
        <f t="shared" si="904"/>
        <v>0</v>
      </c>
      <c r="AB616" s="21">
        <f t="shared" si="899"/>
        <v>7</v>
      </c>
      <c r="AC616" s="119">
        <f>ROUND(I616+mwreg!$G$69/100,3)</f>
        <v>-0.373</v>
      </c>
      <c r="AD616" s="108">
        <f>ROUND(J616+mwreg!$G$69/100,3)</f>
        <v>0.91</v>
      </c>
      <c r="AE616" s="108">
        <f>ROUND(K616+mwreg!$G$69/100,3)</f>
        <v>0.157</v>
      </c>
      <c r="AF616" s="102">
        <f t="shared" si="927"/>
        <v>0.1308</v>
      </c>
      <c r="AG616" s="102">
        <f t="shared" si="928"/>
        <v>0.14430000000000001</v>
      </c>
      <c r="AH616" s="109">
        <f t="shared" si="913"/>
        <v>0.15</v>
      </c>
      <c r="AI616" s="110">
        <f t="shared" si="914"/>
        <v>180</v>
      </c>
      <c r="AJ616" s="110">
        <f t="shared" si="915"/>
        <v>60</v>
      </c>
      <c r="AK616" s="108">
        <f t="shared" si="916"/>
        <v>1E-3</v>
      </c>
      <c r="AL616" s="110">
        <f t="shared" si="917"/>
        <v>3</v>
      </c>
      <c r="AM616" s="110">
        <f t="shared" si="918"/>
        <v>1500</v>
      </c>
      <c r="AN616" s="108">
        <f t="shared" si="919"/>
        <v>0.1</v>
      </c>
      <c r="AO616" s="186" t="str">
        <f t="shared" si="920"/>
        <v>NaN</v>
      </c>
    </row>
    <row r="617" spans="1:41" x14ac:dyDescent="0.2">
      <c r="A617" s="3" t="s">
        <v>296</v>
      </c>
      <c r="B617" s="3" t="s">
        <v>296</v>
      </c>
      <c r="C617" s="52">
        <v>2542</v>
      </c>
      <c r="D617" s="105">
        <v>56.298000000000002</v>
      </c>
      <c r="E617" s="105">
        <v>12.7865</v>
      </c>
      <c r="F617" s="20">
        <v>8195</v>
      </c>
      <c r="G617" s="18">
        <v>0</v>
      </c>
      <c r="H617" s="53">
        <v>8</v>
      </c>
      <c r="I617" s="167">
        <f t="shared" si="921"/>
        <v>-0.38800000000000001</v>
      </c>
      <c r="J617" s="104">
        <f t="shared" si="921"/>
        <v>0.91100000000000003</v>
      </c>
      <c r="K617" s="104">
        <f t="shared" si="921"/>
        <v>5.8000000000000003E-2</v>
      </c>
      <c r="L617" s="105">
        <f t="shared" si="924"/>
        <v>0.12</v>
      </c>
      <c r="M617" s="105">
        <f t="shared" si="924"/>
        <v>0.16969999999999999</v>
      </c>
      <c r="N617" s="105">
        <f t="shared" si="924"/>
        <v>0.17599999999999999</v>
      </c>
      <c r="O617" s="20">
        <f t="shared" si="922"/>
        <v>180</v>
      </c>
      <c r="P617" s="20">
        <f t="shared" si="922"/>
        <v>60</v>
      </c>
      <c r="Q617" s="104">
        <f t="shared" si="925"/>
        <v>1E-3</v>
      </c>
      <c r="R617" s="20">
        <f t="shared" si="923"/>
        <v>3</v>
      </c>
      <c r="S617" s="20">
        <f t="shared" si="923"/>
        <v>1500</v>
      </c>
      <c r="T617" s="104">
        <f t="shared" si="926"/>
        <v>0.1</v>
      </c>
      <c r="U617" s="123" t="s">
        <v>282</v>
      </c>
      <c r="V617" s="21"/>
      <c r="W617" s="58">
        <f t="shared" si="900"/>
        <v>2542</v>
      </c>
      <c r="X617" s="102">
        <f t="shared" si="901"/>
        <v>56.298000000000002</v>
      </c>
      <c r="Y617" s="102">
        <f t="shared" si="902"/>
        <v>12.7865</v>
      </c>
      <c r="Z617" s="21">
        <f t="shared" si="903"/>
        <v>8195</v>
      </c>
      <c r="AA617" s="44">
        <f t="shared" si="904"/>
        <v>0</v>
      </c>
      <c r="AB617" s="21">
        <f t="shared" si="899"/>
        <v>8</v>
      </c>
      <c r="AC617" s="119">
        <f>ROUND(I617+mwreg!$G$69/100,3)</f>
        <v>-0.314</v>
      </c>
      <c r="AD617" s="108">
        <f>ROUND(J617+mwreg!$G$69/100,3)</f>
        <v>0.98499999999999999</v>
      </c>
      <c r="AE617" s="108">
        <f>ROUND(K617+mwreg!$G$69/100,3)</f>
        <v>0.13200000000000001</v>
      </c>
      <c r="AF617" s="102">
        <f t="shared" si="927"/>
        <v>0.12</v>
      </c>
      <c r="AG617" s="102">
        <f t="shared" si="928"/>
        <v>0.16969999999999999</v>
      </c>
      <c r="AH617" s="109">
        <f t="shared" si="913"/>
        <v>0.17599999999999999</v>
      </c>
      <c r="AI617" s="110">
        <f t="shared" si="914"/>
        <v>180</v>
      </c>
      <c r="AJ617" s="110">
        <f t="shared" si="915"/>
        <v>60</v>
      </c>
      <c r="AK617" s="108">
        <f t="shared" si="916"/>
        <v>1E-3</v>
      </c>
      <c r="AL617" s="110">
        <f t="shared" si="917"/>
        <v>3</v>
      </c>
      <c r="AM617" s="110">
        <f t="shared" si="918"/>
        <v>1500</v>
      </c>
      <c r="AN617" s="108">
        <f t="shared" si="919"/>
        <v>0.1</v>
      </c>
      <c r="AO617" s="186" t="str">
        <f t="shared" si="920"/>
        <v>NaN</v>
      </c>
    </row>
    <row r="618" spans="1:41" x14ac:dyDescent="0.2">
      <c r="A618" s="3" t="s">
        <v>296</v>
      </c>
      <c r="B618" s="3" t="s">
        <v>296</v>
      </c>
      <c r="C618" s="52">
        <v>2542</v>
      </c>
      <c r="D618" s="105">
        <v>56.298000000000002</v>
      </c>
      <c r="E618" s="105">
        <v>12.7865</v>
      </c>
      <c r="F618" s="20">
        <v>8195</v>
      </c>
      <c r="G618" s="18">
        <v>0</v>
      </c>
      <c r="H618" s="53">
        <v>9</v>
      </c>
      <c r="I618" s="167">
        <f t="shared" si="921"/>
        <v>-0.59599999999999997</v>
      </c>
      <c r="J618" s="104">
        <f t="shared" si="921"/>
        <v>1.115</v>
      </c>
      <c r="K618" s="104">
        <f t="shared" si="921"/>
        <v>0.106</v>
      </c>
      <c r="L618" s="105">
        <f t="shared" si="924"/>
        <v>0.18160000000000001</v>
      </c>
      <c r="M618" s="105">
        <f t="shared" si="924"/>
        <v>0.1133</v>
      </c>
      <c r="N618" s="105">
        <f t="shared" si="924"/>
        <v>0.12</v>
      </c>
      <c r="O618" s="20">
        <f t="shared" si="922"/>
        <v>180</v>
      </c>
      <c r="P618" s="20">
        <f t="shared" si="922"/>
        <v>60</v>
      </c>
      <c r="Q618" s="104">
        <f t="shared" si="925"/>
        <v>1E-3</v>
      </c>
      <c r="R618" s="20">
        <f t="shared" si="923"/>
        <v>3</v>
      </c>
      <c r="S618" s="20">
        <f t="shared" si="923"/>
        <v>1500</v>
      </c>
      <c r="T618" s="104">
        <f t="shared" si="926"/>
        <v>0.1</v>
      </c>
      <c r="U618" s="123" t="s">
        <v>282</v>
      </c>
      <c r="V618" s="21"/>
      <c r="W618" s="58">
        <f t="shared" si="900"/>
        <v>2542</v>
      </c>
      <c r="X618" s="102">
        <f t="shared" si="901"/>
        <v>56.298000000000002</v>
      </c>
      <c r="Y618" s="102">
        <f t="shared" si="902"/>
        <v>12.7865</v>
      </c>
      <c r="Z618" s="21">
        <f t="shared" si="903"/>
        <v>8195</v>
      </c>
      <c r="AA618" s="44">
        <f t="shared" si="904"/>
        <v>0</v>
      </c>
      <c r="AB618" s="21">
        <f t="shared" si="899"/>
        <v>9</v>
      </c>
      <c r="AC618" s="119">
        <f>ROUND(I618+mwreg!$G$69/100,3)</f>
        <v>-0.52200000000000002</v>
      </c>
      <c r="AD618" s="108">
        <f>ROUND(J618+mwreg!$G$69/100,3)</f>
        <v>1.1890000000000001</v>
      </c>
      <c r="AE618" s="108">
        <f>ROUND(K618+mwreg!$G$69/100,3)</f>
        <v>0.18</v>
      </c>
      <c r="AF618" s="102">
        <f t="shared" si="927"/>
        <v>0.18160000000000001</v>
      </c>
      <c r="AG618" s="102">
        <f t="shared" si="928"/>
        <v>0.1133</v>
      </c>
      <c r="AH618" s="109">
        <f t="shared" si="913"/>
        <v>0.12</v>
      </c>
      <c r="AI618" s="110">
        <f t="shared" si="914"/>
        <v>180</v>
      </c>
      <c r="AJ618" s="110">
        <f t="shared" si="915"/>
        <v>60</v>
      </c>
      <c r="AK618" s="108">
        <f t="shared" si="916"/>
        <v>1E-3</v>
      </c>
      <c r="AL618" s="110">
        <f t="shared" si="917"/>
        <v>3</v>
      </c>
      <c r="AM618" s="110">
        <f t="shared" si="918"/>
        <v>1500</v>
      </c>
      <c r="AN618" s="108">
        <f t="shared" si="919"/>
        <v>0.1</v>
      </c>
      <c r="AO618" s="186" t="str">
        <f t="shared" si="920"/>
        <v>NaN</v>
      </c>
    </row>
    <row r="619" spans="1:41" x14ac:dyDescent="0.2">
      <c r="A619" s="3" t="s">
        <v>296</v>
      </c>
      <c r="B619" s="3" t="s">
        <v>296</v>
      </c>
      <c r="C619" s="52">
        <v>2542</v>
      </c>
      <c r="D619" s="105">
        <v>56.298000000000002</v>
      </c>
      <c r="E619" s="105">
        <v>12.7865</v>
      </c>
      <c r="F619" s="20">
        <v>8195</v>
      </c>
      <c r="G619" s="18">
        <v>0</v>
      </c>
      <c r="H619" s="53">
        <v>10</v>
      </c>
      <c r="I619" s="167">
        <f t="shared" si="921"/>
        <v>-0.94799999999999995</v>
      </c>
      <c r="J619" s="104">
        <f t="shared" si="921"/>
        <v>1.242</v>
      </c>
      <c r="K619" s="104">
        <f t="shared" si="921"/>
        <v>7.1999999999999995E-2</v>
      </c>
      <c r="L619" s="105">
        <f t="shared" si="924"/>
        <v>0.19520000000000001</v>
      </c>
      <c r="M619" s="105">
        <f t="shared" si="924"/>
        <v>0.1201</v>
      </c>
      <c r="N619" s="105">
        <f t="shared" si="924"/>
        <v>0.128</v>
      </c>
      <c r="O619" s="20">
        <f t="shared" si="922"/>
        <v>180</v>
      </c>
      <c r="P619" s="20">
        <f t="shared" si="922"/>
        <v>60</v>
      </c>
      <c r="Q619" s="104">
        <f t="shared" si="925"/>
        <v>1E-3</v>
      </c>
      <c r="R619" s="20">
        <f t="shared" si="923"/>
        <v>3</v>
      </c>
      <c r="S619" s="20">
        <f t="shared" si="923"/>
        <v>1500</v>
      </c>
      <c r="T619" s="104">
        <f t="shared" si="926"/>
        <v>0.1</v>
      </c>
      <c r="U619" s="123" t="s">
        <v>282</v>
      </c>
      <c r="V619" s="21"/>
      <c r="W619" s="58">
        <f t="shared" si="900"/>
        <v>2542</v>
      </c>
      <c r="X619" s="102">
        <f t="shared" si="901"/>
        <v>56.298000000000002</v>
      </c>
      <c r="Y619" s="102">
        <f t="shared" si="902"/>
        <v>12.7865</v>
      </c>
      <c r="Z619" s="21">
        <f t="shared" si="903"/>
        <v>8195</v>
      </c>
      <c r="AA619" s="44">
        <f t="shared" si="904"/>
        <v>0</v>
      </c>
      <c r="AB619" s="21">
        <f t="shared" si="899"/>
        <v>10</v>
      </c>
      <c r="AC619" s="119">
        <f>ROUND(I619+mwreg!$G$69/100,3)</f>
        <v>-0.874</v>
      </c>
      <c r="AD619" s="108">
        <f>ROUND(J619+mwreg!$G$69/100,3)</f>
        <v>1.3160000000000001</v>
      </c>
      <c r="AE619" s="108">
        <f>ROUND(K619+mwreg!$G$69/100,3)</f>
        <v>0.14599999999999999</v>
      </c>
      <c r="AF619" s="102">
        <f t="shared" si="927"/>
        <v>0.19520000000000001</v>
      </c>
      <c r="AG619" s="102">
        <f t="shared" si="928"/>
        <v>0.1201</v>
      </c>
      <c r="AH619" s="109">
        <f t="shared" si="913"/>
        <v>0.128</v>
      </c>
      <c r="AI619" s="110">
        <f t="shared" si="914"/>
        <v>180</v>
      </c>
      <c r="AJ619" s="110">
        <f t="shared" si="915"/>
        <v>60</v>
      </c>
      <c r="AK619" s="108">
        <f t="shared" si="916"/>
        <v>1E-3</v>
      </c>
      <c r="AL619" s="110">
        <f t="shared" si="917"/>
        <v>3</v>
      </c>
      <c r="AM619" s="110">
        <f t="shared" si="918"/>
        <v>1500</v>
      </c>
      <c r="AN619" s="108">
        <f t="shared" si="919"/>
        <v>0.1</v>
      </c>
      <c r="AO619" s="186" t="str">
        <f t="shared" si="920"/>
        <v>NaN</v>
      </c>
    </row>
    <row r="620" spans="1:41" x14ac:dyDescent="0.2">
      <c r="A620" s="3" t="s">
        <v>296</v>
      </c>
      <c r="B620" s="3" t="s">
        <v>296</v>
      </c>
      <c r="C620" s="52">
        <v>2542</v>
      </c>
      <c r="D620" s="105">
        <v>56.298000000000002</v>
      </c>
      <c r="E620" s="105">
        <v>12.7865</v>
      </c>
      <c r="F620" s="20">
        <v>8195</v>
      </c>
      <c r="G620" s="18">
        <v>0</v>
      </c>
      <c r="H620" s="53">
        <v>11</v>
      </c>
      <c r="I620" s="167">
        <f t="shared" si="921"/>
        <v>-0.93799999999999994</v>
      </c>
      <c r="J620" s="104">
        <f t="shared" si="921"/>
        <v>1.6559999999999999</v>
      </c>
      <c r="K620" s="104">
        <f t="shared" si="921"/>
        <v>3.6999999999999998E-2</v>
      </c>
      <c r="L620" s="105">
        <f t="shared" si="924"/>
        <v>0.2278</v>
      </c>
      <c r="M620" s="105">
        <f t="shared" si="924"/>
        <v>0.1147</v>
      </c>
      <c r="N620" s="105">
        <f t="shared" si="924"/>
        <v>0.123</v>
      </c>
      <c r="O620" s="20">
        <f t="shared" si="922"/>
        <v>180</v>
      </c>
      <c r="P620" s="20">
        <f t="shared" si="922"/>
        <v>60</v>
      </c>
      <c r="Q620" s="104">
        <f t="shared" si="925"/>
        <v>1E-3</v>
      </c>
      <c r="R620" s="20">
        <f t="shared" si="923"/>
        <v>3</v>
      </c>
      <c r="S620" s="20">
        <f t="shared" si="923"/>
        <v>1500</v>
      </c>
      <c r="T620" s="104">
        <f t="shared" si="926"/>
        <v>0.1</v>
      </c>
      <c r="U620" s="123" t="s">
        <v>282</v>
      </c>
      <c r="V620" s="21"/>
      <c r="W620" s="58">
        <f t="shared" si="900"/>
        <v>2542</v>
      </c>
      <c r="X620" s="102">
        <f t="shared" si="901"/>
        <v>56.298000000000002</v>
      </c>
      <c r="Y620" s="102">
        <f t="shared" si="902"/>
        <v>12.7865</v>
      </c>
      <c r="Z620" s="21">
        <f t="shared" si="903"/>
        <v>8195</v>
      </c>
      <c r="AA620" s="44">
        <f t="shared" si="904"/>
        <v>0</v>
      </c>
      <c r="AB620" s="21">
        <f t="shared" si="899"/>
        <v>11</v>
      </c>
      <c r="AC620" s="119">
        <f>ROUND(I620+mwreg!$G$69/100,3)</f>
        <v>-0.86399999999999999</v>
      </c>
      <c r="AD620" s="108">
        <f>ROUND(J620+mwreg!$G$69/100,3)</f>
        <v>1.73</v>
      </c>
      <c r="AE620" s="108">
        <f>ROUND(K620+mwreg!$G$69/100,3)</f>
        <v>0.111</v>
      </c>
      <c r="AF620" s="102">
        <f t="shared" si="927"/>
        <v>0.2278</v>
      </c>
      <c r="AG620" s="102">
        <f t="shared" si="928"/>
        <v>0.1147</v>
      </c>
      <c r="AH620" s="109">
        <f t="shared" si="913"/>
        <v>0.123</v>
      </c>
      <c r="AI620" s="110">
        <f t="shared" si="914"/>
        <v>180</v>
      </c>
      <c r="AJ620" s="110">
        <f t="shared" si="915"/>
        <v>60</v>
      </c>
      <c r="AK620" s="108">
        <f t="shared" si="916"/>
        <v>1E-3</v>
      </c>
      <c r="AL620" s="110">
        <f t="shared" si="917"/>
        <v>3</v>
      </c>
      <c r="AM620" s="110">
        <f t="shared" si="918"/>
        <v>1500</v>
      </c>
      <c r="AN620" s="108">
        <f t="shared" si="919"/>
        <v>0.1</v>
      </c>
      <c r="AO620" s="186" t="str">
        <f t="shared" si="920"/>
        <v>NaN</v>
      </c>
    </row>
    <row r="621" spans="1:41" x14ac:dyDescent="0.2">
      <c r="A621" s="3" t="s">
        <v>296</v>
      </c>
      <c r="B621" s="3" t="s">
        <v>296</v>
      </c>
      <c r="C621" s="52">
        <v>2542</v>
      </c>
      <c r="D621" s="105">
        <v>56.298000000000002</v>
      </c>
      <c r="E621" s="105">
        <v>12.7865</v>
      </c>
      <c r="F621" s="20">
        <v>8195</v>
      </c>
      <c r="G621" s="18">
        <v>0</v>
      </c>
      <c r="H621" s="53">
        <v>12</v>
      </c>
      <c r="I621" s="167">
        <f>ROUND(I609,3)</f>
        <v>-0.97099999999999997</v>
      </c>
      <c r="J621" s="11">
        <v>2</v>
      </c>
      <c r="K621" s="104">
        <f>ROUND(K609,3)</f>
        <v>7.2999999999999995E-2</v>
      </c>
      <c r="L621" s="105">
        <f t="shared" si="924"/>
        <v>0.24229999999999999</v>
      </c>
      <c r="M621" s="105">
        <f t="shared" si="924"/>
        <v>0.12239999999999999</v>
      </c>
      <c r="N621" s="105">
        <f t="shared" si="924"/>
        <v>0.13</v>
      </c>
      <c r="O621" s="20">
        <f t="shared" si="922"/>
        <v>180</v>
      </c>
      <c r="P621" s="20">
        <f t="shared" si="922"/>
        <v>60</v>
      </c>
      <c r="Q621" s="104">
        <f t="shared" si="925"/>
        <v>1E-3</v>
      </c>
      <c r="R621" s="20">
        <f t="shared" si="923"/>
        <v>3</v>
      </c>
      <c r="S621" s="20">
        <f t="shared" si="923"/>
        <v>1500</v>
      </c>
      <c r="T621" s="104">
        <f t="shared" si="926"/>
        <v>0.1</v>
      </c>
      <c r="U621" s="123" t="s">
        <v>282</v>
      </c>
      <c r="V621" s="21"/>
      <c r="W621" s="58">
        <f t="shared" si="900"/>
        <v>2542</v>
      </c>
      <c r="X621" s="102">
        <f t="shared" si="901"/>
        <v>56.298000000000002</v>
      </c>
      <c r="Y621" s="102">
        <f t="shared" si="902"/>
        <v>12.7865</v>
      </c>
      <c r="Z621" s="21">
        <f t="shared" si="903"/>
        <v>8195</v>
      </c>
      <c r="AA621" s="44">
        <f t="shared" si="904"/>
        <v>0</v>
      </c>
      <c r="AB621" s="21">
        <f t="shared" si="899"/>
        <v>12</v>
      </c>
      <c r="AC621" s="119">
        <f>ROUND(I621+mwreg!$G$69/100,3)</f>
        <v>-0.89700000000000002</v>
      </c>
      <c r="AD621" s="108">
        <f>ROUND(J621+mwreg!$G$69/100,3)</f>
        <v>2.0739999999999998</v>
      </c>
      <c r="AE621" s="108">
        <f>ROUND(K621+mwreg!$G$69/100,3)</f>
        <v>0.14699999999999999</v>
      </c>
      <c r="AF621" s="102">
        <f t="shared" si="927"/>
        <v>0.24229999999999999</v>
      </c>
      <c r="AG621" s="102">
        <f t="shared" si="928"/>
        <v>0.12239999999999999</v>
      </c>
      <c r="AH621" s="109">
        <f t="shared" si="913"/>
        <v>0.13</v>
      </c>
      <c r="AI621" s="110">
        <f t="shared" si="914"/>
        <v>180</v>
      </c>
      <c r="AJ621" s="110">
        <f t="shared" si="915"/>
        <v>60</v>
      </c>
      <c r="AK621" s="108">
        <f t="shared" si="916"/>
        <v>1E-3</v>
      </c>
      <c r="AL621" s="110">
        <f t="shared" si="917"/>
        <v>3</v>
      </c>
      <c r="AM621" s="110">
        <f t="shared" si="918"/>
        <v>1500</v>
      </c>
      <c r="AN621" s="108">
        <f t="shared" si="919"/>
        <v>0.1</v>
      </c>
      <c r="AO621" s="186" t="str">
        <f t="shared" si="920"/>
        <v>NaN</v>
      </c>
    </row>
    <row r="622" spans="1:41" x14ac:dyDescent="0.2">
      <c r="A622" s="3" t="str">
        <f>stat_uppg!A60</f>
        <v>43/35115</v>
      </c>
      <c r="B622" s="3" t="str">
        <f>stat_uppg!B60</f>
        <v>HALMSTAD (SJÖV)</v>
      </c>
      <c r="C622" s="52">
        <v>35115</v>
      </c>
      <c r="D622" s="105">
        <v>56.648800000000001</v>
      </c>
      <c r="E622" s="105">
        <v>12.835800000000001</v>
      </c>
      <c r="F622" s="20">
        <v>8195</v>
      </c>
      <c r="G622" s="18">
        <v>0</v>
      </c>
      <c r="H622" s="53">
        <v>1</v>
      </c>
      <c r="I622" s="167">
        <f t="shared" ref="I622:K631" si="929">ROUND(0.44*I598+0.56*I670,3)</f>
        <v>-1.1040000000000001</v>
      </c>
      <c r="J622" s="104">
        <f t="shared" si="929"/>
        <v>1.5860000000000001</v>
      </c>
      <c r="K622" s="104">
        <f t="shared" si="929"/>
        <v>7.5999999999999998E-2</v>
      </c>
      <c r="L622" s="105">
        <f t="shared" ref="L622:N633" si="930">ROUND(0.44*L598+0.56*L670,4)</f>
        <v>0.26860000000000001</v>
      </c>
      <c r="M622" s="105">
        <f t="shared" si="930"/>
        <v>5.3699999999999998E-2</v>
      </c>
      <c r="N622" s="105">
        <f t="shared" si="930"/>
        <v>5.8000000000000003E-2</v>
      </c>
      <c r="O622" s="20">
        <f>ROUND(0.44*O598+0.56*O670,0)</f>
        <v>180</v>
      </c>
      <c r="P622" s="20">
        <f>ROUND(0.44*P598+0.56*P670,0)</f>
        <v>60</v>
      </c>
      <c r="Q622" s="104">
        <f>ROUND(0.44*Q598+0.56*Q670,3)</f>
        <v>1E-3</v>
      </c>
      <c r="R622" s="20">
        <f>ROUND(0.44*R598+0.56*R670,0)</f>
        <v>3</v>
      </c>
      <c r="S622" s="20">
        <f>ROUND(0.44*S598+0.56*S670,0)</f>
        <v>1500</v>
      </c>
      <c r="T622" s="104">
        <f>ROUND(0.44*T598+0.56*T670,3)</f>
        <v>0.1</v>
      </c>
      <c r="U622" s="123" t="s">
        <v>282</v>
      </c>
      <c r="V622" s="21"/>
      <c r="W622" s="58">
        <f t="shared" si="900"/>
        <v>35115</v>
      </c>
      <c r="X622" s="102">
        <f t="shared" si="901"/>
        <v>56.648800000000001</v>
      </c>
      <c r="Y622" s="102">
        <f t="shared" si="902"/>
        <v>12.835800000000001</v>
      </c>
      <c r="Z622" s="21">
        <f t="shared" si="903"/>
        <v>8195</v>
      </c>
      <c r="AA622" s="44">
        <f t="shared" si="904"/>
        <v>0</v>
      </c>
      <c r="AB622" s="21">
        <f t="shared" si="899"/>
        <v>1</v>
      </c>
      <c r="AC622" s="119">
        <f>ROUND(I622+mwreg!$G$70/100,3)</f>
        <v>-1.046</v>
      </c>
      <c r="AD622" s="108">
        <f>ROUND(J622+mwreg!$G$70/100,3)</f>
        <v>1.6439999999999999</v>
      </c>
      <c r="AE622" s="108">
        <f>ROUND(K622+mwreg!$G$70/100,3)</f>
        <v>0.13400000000000001</v>
      </c>
      <c r="AF622" s="102">
        <f t="shared" si="927"/>
        <v>0.26860000000000001</v>
      </c>
      <c r="AG622" s="102">
        <f t="shared" si="928"/>
        <v>5.3699999999999998E-2</v>
      </c>
      <c r="AH622" s="109">
        <f t="shared" si="913"/>
        <v>5.8000000000000003E-2</v>
      </c>
      <c r="AI622" s="110">
        <f t="shared" si="914"/>
        <v>180</v>
      </c>
      <c r="AJ622" s="110">
        <f t="shared" si="915"/>
        <v>60</v>
      </c>
      <c r="AK622" s="108">
        <f t="shared" si="916"/>
        <v>1E-3</v>
      </c>
      <c r="AL622" s="110">
        <f t="shared" si="917"/>
        <v>3</v>
      </c>
      <c r="AM622" s="110">
        <f t="shared" si="918"/>
        <v>1500</v>
      </c>
      <c r="AN622" s="108">
        <f t="shared" si="919"/>
        <v>0.1</v>
      </c>
      <c r="AO622" s="186" t="str">
        <f t="shared" si="920"/>
        <v>NaN</v>
      </c>
    </row>
    <row r="623" spans="1:41" x14ac:dyDescent="0.2">
      <c r="A623" s="3" t="s">
        <v>296</v>
      </c>
      <c r="B623" s="3" t="s">
        <v>296</v>
      </c>
      <c r="C623" s="52">
        <v>35115</v>
      </c>
      <c r="D623" s="105">
        <v>56.648800000000001</v>
      </c>
      <c r="E623" s="105">
        <v>12.835800000000001</v>
      </c>
      <c r="F623" s="20">
        <v>8195</v>
      </c>
      <c r="G623" s="18">
        <v>0</v>
      </c>
      <c r="H623" s="53">
        <v>2</v>
      </c>
      <c r="I623" s="167">
        <f t="shared" si="929"/>
        <v>-1.0549999999999999</v>
      </c>
      <c r="J623" s="104">
        <f t="shared" si="929"/>
        <v>1.2569999999999999</v>
      </c>
      <c r="K623" s="104">
        <f t="shared" si="929"/>
        <v>2.7E-2</v>
      </c>
      <c r="L623" s="105">
        <f t="shared" si="930"/>
        <v>0.27239999999999998</v>
      </c>
      <c r="M623" s="105">
        <f t="shared" ref="M623:N623" si="931">ROUND(0.44*M599+0.56*M671,4)</f>
        <v>0.11119999999999999</v>
      </c>
      <c r="N623" s="105">
        <f t="shared" si="931"/>
        <v>0.1153</v>
      </c>
      <c r="O623" s="20">
        <f t="shared" ref="O623:P623" si="932">ROUND(0.44*O599+0.56*O671,0)</f>
        <v>180</v>
      </c>
      <c r="P623" s="20">
        <f t="shared" si="932"/>
        <v>60</v>
      </c>
      <c r="Q623" s="104">
        <f t="shared" ref="Q623:Q633" si="933">ROUND(0.44*Q599+0.56*Q671,3)</f>
        <v>1E-3</v>
      </c>
      <c r="R623" s="20">
        <f t="shared" ref="R623:S623" si="934">ROUND(0.44*R599+0.56*R671,0)</f>
        <v>3</v>
      </c>
      <c r="S623" s="20">
        <f t="shared" si="934"/>
        <v>1500</v>
      </c>
      <c r="T623" s="104">
        <f t="shared" ref="T623:T633" si="935">ROUND(0.44*T599+0.56*T671,3)</f>
        <v>0.1</v>
      </c>
      <c r="U623" s="123" t="s">
        <v>282</v>
      </c>
      <c r="V623" s="21"/>
      <c r="W623" s="58">
        <f t="shared" si="900"/>
        <v>35115</v>
      </c>
      <c r="X623" s="102">
        <f t="shared" si="901"/>
        <v>56.648800000000001</v>
      </c>
      <c r="Y623" s="102">
        <f t="shared" si="902"/>
        <v>12.835800000000001</v>
      </c>
      <c r="Z623" s="21">
        <f t="shared" si="903"/>
        <v>8195</v>
      </c>
      <c r="AA623" s="44">
        <f t="shared" si="904"/>
        <v>0</v>
      </c>
      <c r="AB623" s="21">
        <f t="shared" si="899"/>
        <v>2</v>
      </c>
      <c r="AC623" s="119">
        <f>ROUND(I623+mwreg!$G$70/100,3)</f>
        <v>-0.997</v>
      </c>
      <c r="AD623" s="108">
        <f>ROUND(J623+mwreg!$G$70/100,3)</f>
        <v>1.3149999999999999</v>
      </c>
      <c r="AE623" s="108">
        <f>ROUND(K623+mwreg!$G$70/100,3)</f>
        <v>8.5000000000000006E-2</v>
      </c>
      <c r="AF623" s="102">
        <f t="shared" si="927"/>
        <v>0.27239999999999998</v>
      </c>
      <c r="AG623" s="102">
        <f t="shared" si="928"/>
        <v>0.11119999999999999</v>
      </c>
      <c r="AH623" s="109">
        <f t="shared" si="913"/>
        <v>0.1153</v>
      </c>
      <c r="AI623" s="110">
        <f t="shared" si="914"/>
        <v>180</v>
      </c>
      <c r="AJ623" s="110">
        <f t="shared" si="915"/>
        <v>60</v>
      </c>
      <c r="AK623" s="108">
        <f t="shared" si="916"/>
        <v>1E-3</v>
      </c>
      <c r="AL623" s="110">
        <f t="shared" si="917"/>
        <v>3</v>
      </c>
      <c r="AM623" s="110">
        <f t="shared" si="918"/>
        <v>1500</v>
      </c>
      <c r="AN623" s="108">
        <f t="shared" si="919"/>
        <v>0.1</v>
      </c>
      <c r="AO623" s="186" t="str">
        <f t="shared" si="920"/>
        <v>NaN</v>
      </c>
    </row>
    <row r="624" spans="1:41" x14ac:dyDescent="0.2">
      <c r="A624" s="3" t="s">
        <v>296</v>
      </c>
      <c r="B624" s="3" t="s">
        <v>296</v>
      </c>
      <c r="C624" s="52">
        <v>35115</v>
      </c>
      <c r="D624" s="105">
        <v>56.648800000000001</v>
      </c>
      <c r="E624" s="105">
        <v>12.835800000000001</v>
      </c>
      <c r="F624" s="20">
        <v>8195</v>
      </c>
      <c r="G624" s="18">
        <v>0</v>
      </c>
      <c r="H624" s="53">
        <v>3</v>
      </c>
      <c r="I624" s="167">
        <f t="shared" si="929"/>
        <v>-0.82799999999999996</v>
      </c>
      <c r="J624" s="104">
        <f t="shared" si="929"/>
        <v>1.282</v>
      </c>
      <c r="K624" s="104">
        <f t="shared" si="929"/>
        <v>-4.1000000000000002E-2</v>
      </c>
      <c r="L624" s="105">
        <f t="shared" si="930"/>
        <v>0.21779999999999999</v>
      </c>
      <c r="M624" s="105">
        <f t="shared" ref="M624:N624" si="936">ROUND(0.44*M600+0.56*M672,4)</f>
        <v>6.1699999999999998E-2</v>
      </c>
      <c r="N624" s="105">
        <f t="shared" si="936"/>
        <v>6.5100000000000005E-2</v>
      </c>
      <c r="O624" s="20">
        <f t="shared" ref="O624:P624" si="937">ROUND(0.44*O600+0.56*O672,0)</f>
        <v>180</v>
      </c>
      <c r="P624" s="20">
        <f t="shared" si="937"/>
        <v>60</v>
      </c>
      <c r="Q624" s="104">
        <f t="shared" si="933"/>
        <v>1E-3</v>
      </c>
      <c r="R624" s="20">
        <f t="shared" ref="R624:S624" si="938">ROUND(0.44*R600+0.56*R672,0)</f>
        <v>3</v>
      </c>
      <c r="S624" s="20">
        <f t="shared" si="938"/>
        <v>1500</v>
      </c>
      <c r="T624" s="104">
        <f t="shared" si="935"/>
        <v>0.1</v>
      </c>
      <c r="U624" s="123" t="s">
        <v>282</v>
      </c>
      <c r="V624" s="21"/>
      <c r="W624" s="58">
        <f t="shared" si="900"/>
        <v>35115</v>
      </c>
      <c r="X624" s="102">
        <f t="shared" si="901"/>
        <v>56.648800000000001</v>
      </c>
      <c r="Y624" s="102">
        <f t="shared" si="902"/>
        <v>12.835800000000001</v>
      </c>
      <c r="Z624" s="21">
        <f t="shared" si="903"/>
        <v>8195</v>
      </c>
      <c r="AA624" s="44">
        <f t="shared" si="904"/>
        <v>0</v>
      </c>
      <c r="AB624" s="21">
        <f t="shared" si="899"/>
        <v>3</v>
      </c>
      <c r="AC624" s="119">
        <f>ROUND(I624+mwreg!$G$70/100,3)</f>
        <v>-0.77</v>
      </c>
      <c r="AD624" s="108">
        <f>ROUND(J624+mwreg!$G$70/100,3)</f>
        <v>1.34</v>
      </c>
      <c r="AE624" s="108">
        <f>ROUND(K624+mwreg!$G$70/100,3)</f>
        <v>1.7000000000000001E-2</v>
      </c>
      <c r="AF624" s="102">
        <f t="shared" si="927"/>
        <v>0.21779999999999999</v>
      </c>
      <c r="AG624" s="102">
        <f t="shared" si="928"/>
        <v>6.1699999999999998E-2</v>
      </c>
      <c r="AH624" s="109">
        <f t="shared" si="913"/>
        <v>6.5100000000000005E-2</v>
      </c>
      <c r="AI624" s="110">
        <f t="shared" si="914"/>
        <v>180</v>
      </c>
      <c r="AJ624" s="110">
        <f t="shared" si="915"/>
        <v>60</v>
      </c>
      <c r="AK624" s="108">
        <f t="shared" si="916"/>
        <v>1E-3</v>
      </c>
      <c r="AL624" s="110">
        <f t="shared" si="917"/>
        <v>3</v>
      </c>
      <c r="AM624" s="110">
        <f t="shared" si="918"/>
        <v>1500</v>
      </c>
      <c r="AN624" s="108">
        <f t="shared" si="919"/>
        <v>0.1</v>
      </c>
      <c r="AO624" s="186" t="str">
        <f t="shared" si="920"/>
        <v>NaN</v>
      </c>
    </row>
    <row r="625" spans="1:41" x14ac:dyDescent="0.2">
      <c r="A625" s="3" t="s">
        <v>296</v>
      </c>
      <c r="B625" s="3" t="s">
        <v>296</v>
      </c>
      <c r="C625" s="52">
        <v>35115</v>
      </c>
      <c r="D625" s="105">
        <v>56.648800000000001</v>
      </c>
      <c r="E625" s="105">
        <v>12.835800000000001</v>
      </c>
      <c r="F625" s="20">
        <v>8195</v>
      </c>
      <c r="G625" s="18">
        <v>0</v>
      </c>
      <c r="H625" s="53">
        <v>4</v>
      </c>
      <c r="I625" s="167">
        <f t="shared" si="929"/>
        <v>-0.73899999999999999</v>
      </c>
      <c r="J625" s="104">
        <f t="shared" si="929"/>
        <v>0.875</v>
      </c>
      <c r="K625" s="104">
        <f t="shared" si="929"/>
        <v>-8.4000000000000005E-2</v>
      </c>
      <c r="L625" s="105">
        <f t="shared" si="930"/>
        <v>0.1527</v>
      </c>
      <c r="M625" s="105">
        <f t="shared" ref="M625:N625" si="939">ROUND(0.44*M601+0.56*M673,4)</f>
        <v>0.1258</v>
      </c>
      <c r="N625" s="105">
        <f t="shared" si="939"/>
        <v>0.1293</v>
      </c>
      <c r="O625" s="20">
        <f t="shared" ref="O625:P625" si="940">ROUND(0.44*O601+0.56*O673,0)</f>
        <v>180</v>
      </c>
      <c r="P625" s="20">
        <f t="shared" si="940"/>
        <v>60</v>
      </c>
      <c r="Q625" s="104">
        <f t="shared" si="933"/>
        <v>1E-3</v>
      </c>
      <c r="R625" s="20">
        <f t="shared" ref="R625:S625" si="941">ROUND(0.44*R601+0.56*R673,0)</f>
        <v>3</v>
      </c>
      <c r="S625" s="20">
        <f t="shared" si="941"/>
        <v>1500</v>
      </c>
      <c r="T625" s="104">
        <f t="shared" si="935"/>
        <v>0.1</v>
      </c>
      <c r="U625" s="123" t="s">
        <v>282</v>
      </c>
      <c r="V625" s="21"/>
      <c r="W625" s="58">
        <f t="shared" si="900"/>
        <v>35115</v>
      </c>
      <c r="X625" s="102">
        <f t="shared" si="901"/>
        <v>56.648800000000001</v>
      </c>
      <c r="Y625" s="102">
        <f t="shared" si="902"/>
        <v>12.835800000000001</v>
      </c>
      <c r="Z625" s="21">
        <f t="shared" si="903"/>
        <v>8195</v>
      </c>
      <c r="AA625" s="44">
        <f t="shared" si="904"/>
        <v>0</v>
      </c>
      <c r="AB625" s="21">
        <f t="shared" si="899"/>
        <v>4</v>
      </c>
      <c r="AC625" s="119">
        <f>ROUND(I625+mwreg!$G$70/100,3)</f>
        <v>-0.68100000000000005</v>
      </c>
      <c r="AD625" s="108">
        <f>ROUND(J625+mwreg!$G$70/100,3)</f>
        <v>0.93300000000000005</v>
      </c>
      <c r="AE625" s="108">
        <f>ROUND(K625+mwreg!$G$70/100,3)</f>
        <v>-2.5999999999999999E-2</v>
      </c>
      <c r="AF625" s="102">
        <f t="shared" si="927"/>
        <v>0.1527</v>
      </c>
      <c r="AG625" s="102">
        <f t="shared" si="928"/>
        <v>0.1258</v>
      </c>
      <c r="AH625" s="109">
        <f t="shared" si="913"/>
        <v>0.1293</v>
      </c>
      <c r="AI625" s="110">
        <f t="shared" si="914"/>
        <v>180</v>
      </c>
      <c r="AJ625" s="110">
        <f t="shared" si="915"/>
        <v>60</v>
      </c>
      <c r="AK625" s="108">
        <f t="shared" si="916"/>
        <v>1E-3</v>
      </c>
      <c r="AL625" s="110">
        <f t="shared" si="917"/>
        <v>3</v>
      </c>
      <c r="AM625" s="110">
        <f t="shared" si="918"/>
        <v>1500</v>
      </c>
      <c r="AN625" s="108">
        <f t="shared" si="919"/>
        <v>0.1</v>
      </c>
      <c r="AO625" s="186" t="str">
        <f t="shared" si="920"/>
        <v>NaN</v>
      </c>
    </row>
    <row r="626" spans="1:41" x14ac:dyDescent="0.2">
      <c r="A626" s="3" t="s">
        <v>296</v>
      </c>
      <c r="B626" s="3" t="s">
        <v>296</v>
      </c>
      <c r="C626" s="52">
        <v>35115</v>
      </c>
      <c r="D626" s="105">
        <v>56.648800000000001</v>
      </c>
      <c r="E626" s="105">
        <v>12.835800000000001</v>
      </c>
      <c r="F626" s="20">
        <v>8195</v>
      </c>
      <c r="G626" s="18">
        <v>0</v>
      </c>
      <c r="H626" s="53">
        <v>5</v>
      </c>
      <c r="I626" s="167">
        <f t="shared" si="929"/>
        <v>-0.55500000000000005</v>
      </c>
      <c r="J626" s="104">
        <f t="shared" si="929"/>
        <v>0.59699999999999998</v>
      </c>
      <c r="K626" s="104">
        <f t="shared" si="929"/>
        <v>-4.7E-2</v>
      </c>
      <c r="L626" s="105">
        <f t="shared" si="930"/>
        <v>0.1318</v>
      </c>
      <c r="M626" s="105">
        <f t="shared" ref="M626:N626" si="942">ROUND(0.44*M602+0.56*M674,4)</f>
        <v>6.2E-2</v>
      </c>
      <c r="N626" s="105">
        <f t="shared" si="942"/>
        <v>6.5299999999999997E-2</v>
      </c>
      <c r="O626" s="20">
        <f t="shared" ref="O626:P626" si="943">ROUND(0.44*O602+0.56*O674,0)</f>
        <v>180</v>
      </c>
      <c r="P626" s="20">
        <f t="shared" si="943"/>
        <v>60</v>
      </c>
      <c r="Q626" s="104">
        <f t="shared" si="933"/>
        <v>1E-3</v>
      </c>
      <c r="R626" s="20">
        <f t="shared" ref="R626:S626" si="944">ROUND(0.44*R602+0.56*R674,0)</f>
        <v>3</v>
      </c>
      <c r="S626" s="20">
        <f t="shared" si="944"/>
        <v>1500</v>
      </c>
      <c r="T626" s="104">
        <f t="shared" si="935"/>
        <v>0.1</v>
      </c>
      <c r="U626" s="123" t="s">
        <v>282</v>
      </c>
      <c r="V626" s="21"/>
      <c r="W626" s="58">
        <f t="shared" si="900"/>
        <v>35115</v>
      </c>
      <c r="X626" s="102">
        <f t="shared" si="901"/>
        <v>56.648800000000001</v>
      </c>
      <c r="Y626" s="102">
        <f t="shared" si="902"/>
        <v>12.835800000000001</v>
      </c>
      <c r="Z626" s="21">
        <f t="shared" si="903"/>
        <v>8195</v>
      </c>
      <c r="AA626" s="44">
        <f t="shared" si="904"/>
        <v>0</v>
      </c>
      <c r="AB626" s="21">
        <f t="shared" si="899"/>
        <v>5</v>
      </c>
      <c r="AC626" s="119">
        <f>ROUND(I626+mwreg!$G$70/100,3)</f>
        <v>-0.497</v>
      </c>
      <c r="AD626" s="108">
        <f>ROUND(J626+mwreg!$G$70/100,3)</f>
        <v>0.65500000000000003</v>
      </c>
      <c r="AE626" s="108">
        <f>ROUND(K626+mwreg!$G$70/100,3)</f>
        <v>1.0999999999999999E-2</v>
      </c>
      <c r="AF626" s="102">
        <f t="shared" si="927"/>
        <v>0.1318</v>
      </c>
      <c r="AG626" s="102">
        <f t="shared" si="928"/>
        <v>6.2E-2</v>
      </c>
      <c r="AH626" s="109">
        <f t="shared" si="913"/>
        <v>6.5299999999999997E-2</v>
      </c>
      <c r="AI626" s="110">
        <f t="shared" si="914"/>
        <v>180</v>
      </c>
      <c r="AJ626" s="110">
        <f t="shared" si="915"/>
        <v>60</v>
      </c>
      <c r="AK626" s="108">
        <f t="shared" si="916"/>
        <v>1E-3</v>
      </c>
      <c r="AL626" s="110">
        <f t="shared" si="917"/>
        <v>3</v>
      </c>
      <c r="AM626" s="110">
        <f t="shared" si="918"/>
        <v>1500</v>
      </c>
      <c r="AN626" s="108">
        <f t="shared" si="919"/>
        <v>0.1</v>
      </c>
      <c r="AO626" s="186" t="str">
        <f t="shared" si="920"/>
        <v>NaN</v>
      </c>
    </row>
    <row r="627" spans="1:41" x14ac:dyDescent="0.2">
      <c r="A627" s="3" t="s">
        <v>296</v>
      </c>
      <c r="B627" s="3" t="s">
        <v>296</v>
      </c>
      <c r="C627" s="52">
        <v>35115</v>
      </c>
      <c r="D627" s="105">
        <v>56.648800000000001</v>
      </c>
      <c r="E627" s="105">
        <v>12.835800000000001</v>
      </c>
      <c r="F627" s="20">
        <v>8195</v>
      </c>
      <c r="G627" s="18">
        <v>0</v>
      </c>
      <c r="H627" s="53">
        <v>6</v>
      </c>
      <c r="I627" s="167">
        <f t="shared" si="929"/>
        <v>-0.45100000000000001</v>
      </c>
      <c r="J627" s="104">
        <f t="shared" si="929"/>
        <v>0.69199999999999995</v>
      </c>
      <c r="K627" s="104">
        <f t="shared" si="929"/>
        <v>-7.0000000000000001E-3</v>
      </c>
      <c r="L627" s="105">
        <f t="shared" si="930"/>
        <v>0.1207</v>
      </c>
      <c r="M627" s="105">
        <f t="shared" ref="M627:N627" si="945">ROUND(0.44*M603+0.56*M675,4)</f>
        <v>0.1401</v>
      </c>
      <c r="N627" s="105">
        <f t="shared" si="945"/>
        <v>0.14360000000000001</v>
      </c>
      <c r="O627" s="20">
        <f t="shared" ref="O627:P627" si="946">ROUND(0.44*O603+0.56*O675,0)</f>
        <v>180</v>
      </c>
      <c r="P627" s="20">
        <f t="shared" si="946"/>
        <v>60</v>
      </c>
      <c r="Q627" s="104">
        <f t="shared" si="933"/>
        <v>1E-3</v>
      </c>
      <c r="R627" s="20">
        <f t="shared" ref="R627:S627" si="947">ROUND(0.44*R603+0.56*R675,0)</f>
        <v>3</v>
      </c>
      <c r="S627" s="20">
        <f t="shared" si="947"/>
        <v>1500</v>
      </c>
      <c r="T627" s="104">
        <f t="shared" si="935"/>
        <v>0.1</v>
      </c>
      <c r="U627" s="123" t="s">
        <v>282</v>
      </c>
      <c r="V627" s="21"/>
      <c r="W627" s="58">
        <f t="shared" si="900"/>
        <v>35115</v>
      </c>
      <c r="X627" s="102">
        <f t="shared" si="901"/>
        <v>56.648800000000001</v>
      </c>
      <c r="Y627" s="102">
        <f t="shared" si="902"/>
        <v>12.835800000000001</v>
      </c>
      <c r="Z627" s="21">
        <f t="shared" si="903"/>
        <v>8195</v>
      </c>
      <c r="AA627" s="44">
        <f t="shared" si="904"/>
        <v>0</v>
      </c>
      <c r="AB627" s="21">
        <f t="shared" si="899"/>
        <v>6</v>
      </c>
      <c r="AC627" s="119">
        <f>ROUND(I627+mwreg!$G$70/100,3)</f>
        <v>-0.39300000000000002</v>
      </c>
      <c r="AD627" s="108">
        <f>ROUND(J627+mwreg!$G$70/100,3)</f>
        <v>0.75</v>
      </c>
      <c r="AE627" s="108">
        <f>ROUND(K627+mwreg!$G$70/100,3)</f>
        <v>5.0999999999999997E-2</v>
      </c>
      <c r="AF627" s="102">
        <f t="shared" si="927"/>
        <v>0.1207</v>
      </c>
      <c r="AG627" s="102">
        <f t="shared" si="928"/>
        <v>0.1401</v>
      </c>
      <c r="AH627" s="109">
        <f t="shared" si="913"/>
        <v>0.14360000000000001</v>
      </c>
      <c r="AI627" s="110">
        <f t="shared" si="914"/>
        <v>180</v>
      </c>
      <c r="AJ627" s="110">
        <f t="shared" si="915"/>
        <v>60</v>
      </c>
      <c r="AK627" s="108">
        <f t="shared" si="916"/>
        <v>1E-3</v>
      </c>
      <c r="AL627" s="110">
        <f t="shared" si="917"/>
        <v>3</v>
      </c>
      <c r="AM627" s="110">
        <f t="shared" si="918"/>
        <v>1500</v>
      </c>
      <c r="AN627" s="108">
        <f t="shared" si="919"/>
        <v>0.1</v>
      </c>
      <c r="AO627" s="186" t="str">
        <f t="shared" si="920"/>
        <v>NaN</v>
      </c>
    </row>
    <row r="628" spans="1:41" x14ac:dyDescent="0.2">
      <c r="A628" s="3" t="s">
        <v>296</v>
      </c>
      <c r="B628" s="3" t="s">
        <v>296</v>
      </c>
      <c r="C628" s="52">
        <v>35115</v>
      </c>
      <c r="D628" s="105">
        <v>56.648800000000001</v>
      </c>
      <c r="E628" s="105">
        <v>12.835800000000001</v>
      </c>
      <c r="F628" s="20">
        <v>8195</v>
      </c>
      <c r="G628" s="18">
        <v>0</v>
      </c>
      <c r="H628" s="53">
        <v>7</v>
      </c>
      <c r="I628" s="167">
        <f t="shared" si="929"/>
        <v>-0.38700000000000001</v>
      </c>
      <c r="J628" s="104">
        <f t="shared" si="929"/>
        <v>0.79300000000000004</v>
      </c>
      <c r="K628" s="104">
        <f t="shared" si="929"/>
        <v>7.3999999999999996E-2</v>
      </c>
      <c r="L628" s="105">
        <f t="shared" si="930"/>
        <v>0.12670000000000001</v>
      </c>
      <c r="M628" s="105">
        <f t="shared" ref="M628:N628" si="948">ROUND(0.44*M604+0.56*M676,4)</f>
        <v>6.8500000000000005E-2</v>
      </c>
      <c r="N628" s="105">
        <f t="shared" si="948"/>
        <v>7.1599999999999997E-2</v>
      </c>
      <c r="O628" s="20">
        <f t="shared" ref="O628:P628" si="949">ROUND(0.44*O604+0.56*O676,0)</f>
        <v>180</v>
      </c>
      <c r="P628" s="20">
        <f t="shared" si="949"/>
        <v>60</v>
      </c>
      <c r="Q628" s="104">
        <f t="shared" si="933"/>
        <v>1E-3</v>
      </c>
      <c r="R628" s="20">
        <f t="shared" ref="R628:S628" si="950">ROUND(0.44*R604+0.56*R676,0)</f>
        <v>3</v>
      </c>
      <c r="S628" s="20">
        <f t="shared" si="950"/>
        <v>1500</v>
      </c>
      <c r="T628" s="104">
        <f t="shared" si="935"/>
        <v>0.1</v>
      </c>
      <c r="U628" s="123" t="s">
        <v>282</v>
      </c>
      <c r="V628" s="21"/>
      <c r="W628" s="58">
        <f t="shared" si="900"/>
        <v>35115</v>
      </c>
      <c r="X628" s="102">
        <f t="shared" si="901"/>
        <v>56.648800000000001</v>
      </c>
      <c r="Y628" s="102">
        <f t="shared" si="902"/>
        <v>12.835800000000001</v>
      </c>
      <c r="Z628" s="21">
        <f t="shared" si="903"/>
        <v>8195</v>
      </c>
      <c r="AA628" s="44">
        <f t="shared" si="904"/>
        <v>0</v>
      </c>
      <c r="AB628" s="21">
        <f t="shared" si="899"/>
        <v>7</v>
      </c>
      <c r="AC628" s="119">
        <f>ROUND(I628+mwreg!$G$70/100,3)</f>
        <v>-0.32900000000000001</v>
      </c>
      <c r="AD628" s="108">
        <f>ROUND(J628+mwreg!$G$70/100,3)</f>
        <v>0.85099999999999998</v>
      </c>
      <c r="AE628" s="108">
        <f>ROUND(K628+mwreg!$G$70/100,3)</f>
        <v>0.13200000000000001</v>
      </c>
      <c r="AF628" s="102">
        <f t="shared" si="927"/>
        <v>0.12670000000000001</v>
      </c>
      <c r="AG628" s="102">
        <f t="shared" si="928"/>
        <v>6.8500000000000005E-2</v>
      </c>
      <c r="AH628" s="109">
        <f t="shared" si="913"/>
        <v>7.1599999999999997E-2</v>
      </c>
      <c r="AI628" s="110">
        <f t="shared" si="914"/>
        <v>180</v>
      </c>
      <c r="AJ628" s="110">
        <f t="shared" si="915"/>
        <v>60</v>
      </c>
      <c r="AK628" s="108">
        <f t="shared" si="916"/>
        <v>1E-3</v>
      </c>
      <c r="AL628" s="110">
        <f t="shared" si="917"/>
        <v>3</v>
      </c>
      <c r="AM628" s="110">
        <f t="shared" si="918"/>
        <v>1500</v>
      </c>
      <c r="AN628" s="108">
        <f t="shared" si="919"/>
        <v>0.1</v>
      </c>
      <c r="AO628" s="186" t="str">
        <f t="shared" si="920"/>
        <v>NaN</v>
      </c>
    </row>
    <row r="629" spans="1:41" x14ac:dyDescent="0.2">
      <c r="A629" s="3" t="s">
        <v>296</v>
      </c>
      <c r="B629" s="3" t="s">
        <v>296</v>
      </c>
      <c r="C629" s="52">
        <v>35115</v>
      </c>
      <c r="D629" s="105">
        <v>56.648800000000001</v>
      </c>
      <c r="E629" s="105">
        <v>12.835800000000001</v>
      </c>
      <c r="F629" s="20">
        <v>8195</v>
      </c>
      <c r="G629" s="18">
        <v>0</v>
      </c>
      <c r="H629" s="53">
        <v>8</v>
      </c>
      <c r="I629" s="167">
        <f t="shared" si="929"/>
        <v>-0.35</v>
      </c>
      <c r="J629" s="104">
        <f t="shared" si="929"/>
        <v>0.93799999999999994</v>
      </c>
      <c r="K629" s="104">
        <f t="shared" si="929"/>
        <v>6.6000000000000003E-2</v>
      </c>
      <c r="L629" s="105">
        <f t="shared" si="930"/>
        <v>0.12089999999999999</v>
      </c>
      <c r="M629" s="105">
        <f t="shared" ref="M629:N629" si="951">ROUND(0.44*M605+0.56*M677,4)</f>
        <v>8.6300000000000002E-2</v>
      </c>
      <c r="N629" s="105">
        <f t="shared" si="951"/>
        <v>8.9800000000000005E-2</v>
      </c>
      <c r="O629" s="20">
        <f t="shared" ref="O629:P629" si="952">ROUND(0.44*O605+0.56*O677,0)</f>
        <v>180</v>
      </c>
      <c r="P629" s="20">
        <f t="shared" si="952"/>
        <v>60</v>
      </c>
      <c r="Q629" s="104">
        <f t="shared" si="933"/>
        <v>1E-3</v>
      </c>
      <c r="R629" s="20">
        <f t="shared" ref="R629:S629" si="953">ROUND(0.44*R605+0.56*R677,0)</f>
        <v>3</v>
      </c>
      <c r="S629" s="20">
        <f t="shared" si="953"/>
        <v>1500</v>
      </c>
      <c r="T629" s="104">
        <f t="shared" si="935"/>
        <v>0.1</v>
      </c>
      <c r="U629" s="123" t="s">
        <v>282</v>
      </c>
      <c r="V629" s="21"/>
      <c r="W629" s="58">
        <f t="shared" si="900"/>
        <v>35115</v>
      </c>
      <c r="X629" s="102">
        <f t="shared" si="901"/>
        <v>56.648800000000001</v>
      </c>
      <c r="Y629" s="102">
        <f t="shared" si="902"/>
        <v>12.835800000000001</v>
      </c>
      <c r="Z629" s="21">
        <f t="shared" si="903"/>
        <v>8195</v>
      </c>
      <c r="AA629" s="44">
        <f t="shared" si="904"/>
        <v>0</v>
      </c>
      <c r="AB629" s="21">
        <f t="shared" si="899"/>
        <v>8</v>
      </c>
      <c r="AC629" s="119">
        <f>ROUND(I629+mwreg!$G$70/100,3)</f>
        <v>-0.29199999999999998</v>
      </c>
      <c r="AD629" s="108">
        <f>ROUND(J629+mwreg!$G$70/100,3)</f>
        <v>0.996</v>
      </c>
      <c r="AE629" s="108">
        <f>ROUND(K629+mwreg!$G$70/100,3)</f>
        <v>0.124</v>
      </c>
      <c r="AF629" s="102">
        <f t="shared" si="927"/>
        <v>0.12089999999999999</v>
      </c>
      <c r="AG629" s="102">
        <f t="shared" si="928"/>
        <v>8.6300000000000002E-2</v>
      </c>
      <c r="AH629" s="109">
        <f t="shared" si="913"/>
        <v>8.9800000000000005E-2</v>
      </c>
      <c r="AI629" s="110">
        <f t="shared" si="914"/>
        <v>180</v>
      </c>
      <c r="AJ629" s="110">
        <f t="shared" si="915"/>
        <v>60</v>
      </c>
      <c r="AK629" s="108">
        <f t="shared" si="916"/>
        <v>1E-3</v>
      </c>
      <c r="AL629" s="110">
        <f t="shared" si="917"/>
        <v>3</v>
      </c>
      <c r="AM629" s="110">
        <f t="shared" si="918"/>
        <v>1500</v>
      </c>
      <c r="AN629" s="108">
        <f t="shared" si="919"/>
        <v>0.1</v>
      </c>
      <c r="AO629" s="186" t="str">
        <f t="shared" si="920"/>
        <v>NaN</v>
      </c>
    </row>
    <row r="630" spans="1:41" x14ac:dyDescent="0.2">
      <c r="A630" s="3" t="s">
        <v>296</v>
      </c>
      <c r="B630" s="3" t="s">
        <v>296</v>
      </c>
      <c r="C630" s="52">
        <v>35115</v>
      </c>
      <c r="D630" s="105">
        <v>56.648800000000001</v>
      </c>
      <c r="E630" s="105">
        <v>12.835800000000001</v>
      </c>
      <c r="F630" s="20">
        <v>8195</v>
      </c>
      <c r="G630" s="18">
        <v>0</v>
      </c>
      <c r="H630" s="53">
        <v>9</v>
      </c>
      <c r="I630" s="167">
        <f t="shared" si="929"/>
        <v>-0.505</v>
      </c>
      <c r="J630" s="104">
        <f t="shared" si="929"/>
        <v>1.1499999999999999</v>
      </c>
      <c r="K630" s="104">
        <f t="shared" si="929"/>
        <v>9.8000000000000004E-2</v>
      </c>
      <c r="L630" s="105">
        <f t="shared" si="930"/>
        <v>0.1734</v>
      </c>
      <c r="M630" s="105">
        <f t="shared" ref="M630:N630" si="954">ROUND(0.44*M606+0.56*M678,4)</f>
        <v>6.54E-2</v>
      </c>
      <c r="N630" s="105">
        <f t="shared" si="954"/>
        <v>6.9000000000000006E-2</v>
      </c>
      <c r="O630" s="20">
        <f t="shared" ref="O630:P630" si="955">ROUND(0.44*O606+0.56*O678,0)</f>
        <v>180</v>
      </c>
      <c r="P630" s="20">
        <f t="shared" si="955"/>
        <v>60</v>
      </c>
      <c r="Q630" s="104">
        <f t="shared" si="933"/>
        <v>1E-3</v>
      </c>
      <c r="R630" s="20">
        <f t="shared" ref="R630:S630" si="956">ROUND(0.44*R606+0.56*R678,0)</f>
        <v>3</v>
      </c>
      <c r="S630" s="20">
        <f t="shared" si="956"/>
        <v>1500</v>
      </c>
      <c r="T630" s="104">
        <f t="shared" si="935"/>
        <v>0.1</v>
      </c>
      <c r="U630" s="123" t="s">
        <v>282</v>
      </c>
      <c r="V630" s="21"/>
      <c r="W630" s="58">
        <f t="shared" si="900"/>
        <v>35115</v>
      </c>
      <c r="X630" s="102">
        <f t="shared" si="901"/>
        <v>56.648800000000001</v>
      </c>
      <c r="Y630" s="102">
        <f t="shared" si="902"/>
        <v>12.835800000000001</v>
      </c>
      <c r="Z630" s="21">
        <f t="shared" si="903"/>
        <v>8195</v>
      </c>
      <c r="AA630" s="44">
        <f t="shared" si="904"/>
        <v>0</v>
      </c>
      <c r="AB630" s="21">
        <f t="shared" ref="AB630:AB693" si="957">H630</f>
        <v>9</v>
      </c>
      <c r="AC630" s="119">
        <f>ROUND(I630+mwreg!$G$70/100,3)</f>
        <v>-0.44700000000000001</v>
      </c>
      <c r="AD630" s="108">
        <f>ROUND(J630+mwreg!$G$70/100,3)</f>
        <v>1.208</v>
      </c>
      <c r="AE630" s="108">
        <f>ROUND(K630+mwreg!$G$70/100,3)</f>
        <v>0.156</v>
      </c>
      <c r="AF630" s="102">
        <f t="shared" si="927"/>
        <v>0.1734</v>
      </c>
      <c r="AG630" s="102">
        <f t="shared" si="928"/>
        <v>6.54E-2</v>
      </c>
      <c r="AH630" s="109">
        <f t="shared" si="913"/>
        <v>6.9000000000000006E-2</v>
      </c>
      <c r="AI630" s="110">
        <f t="shared" si="914"/>
        <v>180</v>
      </c>
      <c r="AJ630" s="110">
        <f t="shared" si="915"/>
        <v>60</v>
      </c>
      <c r="AK630" s="108">
        <f t="shared" si="916"/>
        <v>1E-3</v>
      </c>
      <c r="AL630" s="110">
        <f t="shared" si="917"/>
        <v>3</v>
      </c>
      <c r="AM630" s="110">
        <f t="shared" si="918"/>
        <v>1500</v>
      </c>
      <c r="AN630" s="108">
        <f t="shared" si="919"/>
        <v>0.1</v>
      </c>
      <c r="AO630" s="186" t="str">
        <f t="shared" si="920"/>
        <v>NaN</v>
      </c>
    </row>
    <row r="631" spans="1:41" x14ac:dyDescent="0.2">
      <c r="A631" s="3" t="s">
        <v>296</v>
      </c>
      <c r="B631" s="3" t="s">
        <v>296</v>
      </c>
      <c r="C631" s="52">
        <v>35115</v>
      </c>
      <c r="D631" s="105">
        <v>56.648800000000001</v>
      </c>
      <c r="E631" s="105">
        <v>12.835800000000001</v>
      </c>
      <c r="F631" s="20">
        <v>8195</v>
      </c>
      <c r="G631" s="18">
        <v>0</v>
      </c>
      <c r="H631" s="53">
        <v>10</v>
      </c>
      <c r="I631" s="167">
        <f t="shared" si="929"/>
        <v>-0.79600000000000004</v>
      </c>
      <c r="J631" s="104">
        <f t="shared" si="929"/>
        <v>1.278</v>
      </c>
      <c r="K631" s="104">
        <f t="shared" si="929"/>
        <v>7.6999999999999999E-2</v>
      </c>
      <c r="L631" s="105">
        <f t="shared" si="930"/>
        <v>0.19339999999999999</v>
      </c>
      <c r="M631" s="105">
        <f t="shared" ref="M631:N631" si="958">ROUND(0.44*M607+0.56*M679,4)</f>
        <v>6.5000000000000002E-2</v>
      </c>
      <c r="N631" s="105">
        <f t="shared" si="958"/>
        <v>6.9199999999999998E-2</v>
      </c>
      <c r="O631" s="20">
        <f t="shared" ref="O631:P631" si="959">ROUND(0.44*O607+0.56*O679,0)</f>
        <v>180</v>
      </c>
      <c r="P631" s="20">
        <f t="shared" si="959"/>
        <v>60</v>
      </c>
      <c r="Q631" s="104">
        <f t="shared" si="933"/>
        <v>1E-3</v>
      </c>
      <c r="R631" s="20">
        <f t="shared" ref="R631:S631" si="960">ROUND(0.44*R607+0.56*R679,0)</f>
        <v>3</v>
      </c>
      <c r="S631" s="20">
        <f t="shared" si="960"/>
        <v>1500</v>
      </c>
      <c r="T631" s="104">
        <f t="shared" si="935"/>
        <v>0.1</v>
      </c>
      <c r="U631" s="123" t="s">
        <v>282</v>
      </c>
      <c r="V631" s="21"/>
      <c r="W631" s="58">
        <f t="shared" si="900"/>
        <v>35115</v>
      </c>
      <c r="X631" s="102">
        <f t="shared" si="901"/>
        <v>56.648800000000001</v>
      </c>
      <c r="Y631" s="102">
        <f t="shared" si="902"/>
        <v>12.835800000000001</v>
      </c>
      <c r="Z631" s="21">
        <f t="shared" si="903"/>
        <v>8195</v>
      </c>
      <c r="AA631" s="44">
        <f t="shared" si="904"/>
        <v>0</v>
      </c>
      <c r="AB631" s="21">
        <f t="shared" si="957"/>
        <v>10</v>
      </c>
      <c r="AC631" s="119">
        <f>ROUND(I631+mwreg!$G$70/100,3)</f>
        <v>-0.73799999999999999</v>
      </c>
      <c r="AD631" s="108">
        <f>ROUND(J631+mwreg!$G$70/100,3)</f>
        <v>1.3360000000000001</v>
      </c>
      <c r="AE631" s="108">
        <f>ROUND(K631+mwreg!$G$70/100,3)</f>
        <v>0.13500000000000001</v>
      </c>
      <c r="AF631" s="102">
        <f t="shared" si="927"/>
        <v>0.19339999999999999</v>
      </c>
      <c r="AG631" s="102">
        <f t="shared" si="928"/>
        <v>6.5000000000000002E-2</v>
      </c>
      <c r="AH631" s="109">
        <f t="shared" si="913"/>
        <v>6.9199999999999998E-2</v>
      </c>
      <c r="AI631" s="110">
        <f t="shared" si="914"/>
        <v>180</v>
      </c>
      <c r="AJ631" s="110">
        <f t="shared" si="915"/>
        <v>60</v>
      </c>
      <c r="AK631" s="108">
        <f t="shared" si="916"/>
        <v>1E-3</v>
      </c>
      <c r="AL631" s="110">
        <f t="shared" si="917"/>
        <v>3</v>
      </c>
      <c r="AM631" s="110">
        <f t="shared" si="918"/>
        <v>1500</v>
      </c>
      <c r="AN631" s="108">
        <f t="shared" si="919"/>
        <v>0.1</v>
      </c>
      <c r="AO631" s="186" t="str">
        <f t="shared" si="920"/>
        <v>NaN</v>
      </c>
    </row>
    <row r="632" spans="1:41" x14ac:dyDescent="0.2">
      <c r="A632" s="3" t="s">
        <v>296</v>
      </c>
      <c r="B632" s="3" t="s">
        <v>296</v>
      </c>
      <c r="C632" s="52">
        <v>35115</v>
      </c>
      <c r="D632" s="105">
        <v>56.648800000000001</v>
      </c>
      <c r="E632" s="105">
        <v>12.835800000000001</v>
      </c>
      <c r="F632" s="20">
        <v>8195</v>
      </c>
      <c r="G632" s="18">
        <v>0</v>
      </c>
      <c r="H632" s="53">
        <v>11</v>
      </c>
      <c r="I632" s="167">
        <f>ROUND(0.44*I608+0.56*I680,3)</f>
        <v>-0.89400000000000002</v>
      </c>
      <c r="J632" s="11">
        <v>2.31</v>
      </c>
      <c r="K632" s="104">
        <f>ROUND(0.44*K608+0.56*K680,3)</f>
        <v>6.4000000000000001E-2</v>
      </c>
      <c r="L632" s="105">
        <f t="shared" si="930"/>
        <v>0.22120000000000001</v>
      </c>
      <c r="M632" s="105">
        <f t="shared" ref="M632:N632" si="961">ROUND(0.44*M608+0.56*M680,4)</f>
        <v>6.25E-2</v>
      </c>
      <c r="N632" s="105">
        <f t="shared" si="961"/>
        <v>6.6900000000000001E-2</v>
      </c>
      <c r="O632" s="20">
        <f t="shared" ref="O632:P632" si="962">ROUND(0.44*O608+0.56*O680,0)</f>
        <v>180</v>
      </c>
      <c r="P632" s="20">
        <f t="shared" si="962"/>
        <v>60</v>
      </c>
      <c r="Q632" s="104">
        <f t="shared" si="933"/>
        <v>1E-3</v>
      </c>
      <c r="R632" s="20">
        <f t="shared" ref="R632:S632" si="963">ROUND(0.44*R608+0.56*R680,0)</f>
        <v>3</v>
      </c>
      <c r="S632" s="20">
        <f t="shared" si="963"/>
        <v>1500</v>
      </c>
      <c r="T632" s="104">
        <f t="shared" si="935"/>
        <v>0.1</v>
      </c>
      <c r="U632" s="123" t="s">
        <v>282</v>
      </c>
      <c r="V632" s="21"/>
      <c r="W632" s="58">
        <f t="shared" si="900"/>
        <v>35115</v>
      </c>
      <c r="X632" s="102">
        <f t="shared" si="901"/>
        <v>56.648800000000001</v>
      </c>
      <c r="Y632" s="102">
        <f t="shared" si="902"/>
        <v>12.835800000000001</v>
      </c>
      <c r="Z632" s="21">
        <f t="shared" si="903"/>
        <v>8195</v>
      </c>
      <c r="AA632" s="44">
        <f t="shared" si="904"/>
        <v>0</v>
      </c>
      <c r="AB632" s="21">
        <f t="shared" si="957"/>
        <v>11</v>
      </c>
      <c r="AC632" s="119">
        <f>ROUND(I632+mwreg!$G$70/100,3)</f>
        <v>-0.83599999999999997</v>
      </c>
      <c r="AD632" s="83">
        <f>ROUND(J632+mwreg!$G$70/100,3)</f>
        <v>2.3679999999999999</v>
      </c>
      <c r="AE632" s="108">
        <f>ROUND(K632+mwreg!$G$70/100,3)</f>
        <v>0.122</v>
      </c>
      <c r="AF632" s="102">
        <f t="shared" si="927"/>
        <v>0.22120000000000001</v>
      </c>
      <c r="AG632" s="102">
        <f t="shared" si="928"/>
        <v>6.25E-2</v>
      </c>
      <c r="AH632" s="109">
        <f t="shared" si="913"/>
        <v>6.6900000000000001E-2</v>
      </c>
      <c r="AI632" s="110">
        <f t="shared" si="914"/>
        <v>180</v>
      </c>
      <c r="AJ632" s="110">
        <f t="shared" si="915"/>
        <v>60</v>
      </c>
      <c r="AK632" s="108">
        <f t="shared" si="916"/>
        <v>1E-3</v>
      </c>
      <c r="AL632" s="110">
        <f t="shared" si="917"/>
        <v>3</v>
      </c>
      <c r="AM632" s="110">
        <f t="shared" si="918"/>
        <v>1500</v>
      </c>
      <c r="AN632" s="108">
        <f t="shared" si="919"/>
        <v>0.1</v>
      </c>
      <c r="AO632" s="186" t="str">
        <f t="shared" si="920"/>
        <v>NaN</v>
      </c>
    </row>
    <row r="633" spans="1:41" x14ac:dyDescent="0.2">
      <c r="A633" s="3" t="s">
        <v>296</v>
      </c>
      <c r="B633" s="3" t="s">
        <v>296</v>
      </c>
      <c r="C633" s="52">
        <v>35115</v>
      </c>
      <c r="D633" s="105">
        <v>56.648800000000001</v>
      </c>
      <c r="E633" s="105">
        <v>12.835800000000001</v>
      </c>
      <c r="F633" s="20">
        <v>8195</v>
      </c>
      <c r="G633" s="18">
        <v>0</v>
      </c>
      <c r="H633" s="53">
        <v>12</v>
      </c>
      <c r="I633" s="167">
        <f>ROUND(0.44*I609+0.56*I681,3)</f>
        <v>-0.91900000000000004</v>
      </c>
      <c r="J633" s="104">
        <f>ROUND(0.44*J609+0.56*J681,3)</f>
        <v>1.5580000000000001</v>
      </c>
      <c r="K633" s="104">
        <f>ROUND(0.44*K609+0.56*K681,3)</f>
        <v>9.6000000000000002E-2</v>
      </c>
      <c r="L633" s="105">
        <f t="shared" si="930"/>
        <v>0.24360000000000001</v>
      </c>
      <c r="M633" s="105">
        <f t="shared" ref="M633:N633" si="964">ROUND(0.44*M609+0.56*M681,4)</f>
        <v>6.9099999999999995E-2</v>
      </c>
      <c r="N633" s="105">
        <f t="shared" si="964"/>
        <v>7.3400000000000007E-2</v>
      </c>
      <c r="O633" s="20">
        <f t="shared" ref="O633:P633" si="965">ROUND(0.44*O609+0.56*O681,0)</f>
        <v>180</v>
      </c>
      <c r="P633" s="20">
        <f t="shared" si="965"/>
        <v>60</v>
      </c>
      <c r="Q633" s="104">
        <f t="shared" si="933"/>
        <v>1E-3</v>
      </c>
      <c r="R633" s="20">
        <f t="shared" ref="R633:S633" si="966">ROUND(0.44*R609+0.56*R681,0)</f>
        <v>3</v>
      </c>
      <c r="S633" s="20">
        <f t="shared" si="966"/>
        <v>1500</v>
      </c>
      <c r="T633" s="104">
        <f t="shared" si="935"/>
        <v>0.1</v>
      </c>
      <c r="U633" s="123" t="s">
        <v>282</v>
      </c>
      <c r="V633" s="21"/>
      <c r="W633" s="58">
        <f t="shared" si="900"/>
        <v>35115</v>
      </c>
      <c r="X633" s="102">
        <f t="shared" si="901"/>
        <v>56.648800000000001</v>
      </c>
      <c r="Y633" s="102">
        <f t="shared" si="902"/>
        <v>12.835800000000001</v>
      </c>
      <c r="Z633" s="21">
        <f t="shared" si="903"/>
        <v>8195</v>
      </c>
      <c r="AA633" s="44">
        <f t="shared" si="904"/>
        <v>0</v>
      </c>
      <c r="AB633" s="21">
        <f t="shared" si="957"/>
        <v>12</v>
      </c>
      <c r="AC633" s="119">
        <f>ROUND(I633+mwreg!$G$70/100,3)</f>
        <v>-0.86099999999999999</v>
      </c>
      <c r="AD633" s="108">
        <f>ROUND(J633+mwreg!$G$70/100,3)</f>
        <v>1.6160000000000001</v>
      </c>
      <c r="AE633" s="108">
        <f>ROUND(K633+mwreg!$G$70/100,3)</f>
        <v>0.154</v>
      </c>
      <c r="AF633" s="102">
        <f t="shared" si="927"/>
        <v>0.24360000000000001</v>
      </c>
      <c r="AG633" s="102">
        <f t="shared" si="928"/>
        <v>6.9099999999999995E-2</v>
      </c>
      <c r="AH633" s="109">
        <f t="shared" si="913"/>
        <v>7.3400000000000007E-2</v>
      </c>
      <c r="AI633" s="110">
        <f t="shared" si="914"/>
        <v>180</v>
      </c>
      <c r="AJ633" s="110">
        <f t="shared" si="915"/>
        <v>60</v>
      </c>
      <c r="AK633" s="108">
        <f t="shared" si="916"/>
        <v>1E-3</v>
      </c>
      <c r="AL633" s="110">
        <f t="shared" si="917"/>
        <v>3</v>
      </c>
      <c r="AM633" s="110">
        <f t="shared" si="918"/>
        <v>1500</v>
      </c>
      <c r="AN633" s="108">
        <f t="shared" si="919"/>
        <v>0.1</v>
      </c>
      <c r="AO633" s="186" t="str">
        <f t="shared" si="920"/>
        <v>NaN</v>
      </c>
    </row>
    <row r="634" spans="1:41" x14ac:dyDescent="0.2">
      <c r="A634" s="3" t="str">
        <f>stat_uppg!A61</f>
        <v>36/35213</v>
      </c>
      <c r="B634" s="3" t="str">
        <f>stat_uppg!B61</f>
        <v>FALKENBERG (SJÖV)</v>
      </c>
      <c r="C634" s="52">
        <v>35134</v>
      </c>
      <c r="D634" s="105">
        <v>56.892000000000003</v>
      </c>
      <c r="E634" s="105">
        <v>12.4895</v>
      </c>
      <c r="F634" s="20">
        <v>8195</v>
      </c>
      <c r="G634" s="18">
        <v>0</v>
      </c>
      <c r="H634" s="53">
        <v>1</v>
      </c>
      <c r="I634" s="167">
        <f t="shared" ref="I634:K645" si="967">ROUND(0.275*I598+0.725*I670,3)</f>
        <v>-1.091</v>
      </c>
      <c r="J634" s="104">
        <f t="shared" si="967"/>
        <v>1.611</v>
      </c>
      <c r="K634" s="104">
        <f t="shared" si="967"/>
        <v>7.8E-2</v>
      </c>
      <c r="L634" s="105">
        <f t="shared" ref="L634:N645" si="968">ROUND(0.275*L598+0.725*L670,4)</f>
        <v>0.26790000000000003</v>
      </c>
      <c r="M634" s="105">
        <f t="shared" si="968"/>
        <v>4.2799999999999998E-2</v>
      </c>
      <c r="N634" s="105">
        <f t="shared" si="968"/>
        <v>4.6199999999999998E-2</v>
      </c>
      <c r="O634" s="20">
        <f>ROUND(0.275*O598+0.725*O670,0)</f>
        <v>180</v>
      </c>
      <c r="P634" s="20">
        <f>ROUND(0.275*P598+0.725*P670,0)</f>
        <v>60</v>
      </c>
      <c r="Q634" s="104">
        <f>ROUND(0.275*Q598+0.725*Q670,3)</f>
        <v>1E-3</v>
      </c>
      <c r="R634" s="20">
        <f>ROUND(0.275*R598+0.725*R670,0)</f>
        <v>3</v>
      </c>
      <c r="S634" s="20">
        <f>ROUND(0.275*S598+0.725*S670,0)</f>
        <v>1500</v>
      </c>
      <c r="T634" s="104">
        <f>ROUND(0.275*T598+0.725*T670,3)</f>
        <v>0.1</v>
      </c>
      <c r="U634" s="123" t="s">
        <v>282</v>
      </c>
      <c r="V634" s="21"/>
      <c r="W634" s="58">
        <f t="shared" si="900"/>
        <v>35134</v>
      </c>
      <c r="X634" s="102">
        <f t="shared" si="901"/>
        <v>56.892000000000003</v>
      </c>
      <c r="Y634" s="102">
        <f t="shared" si="902"/>
        <v>12.4895</v>
      </c>
      <c r="Z634" s="21">
        <f t="shared" si="903"/>
        <v>8195</v>
      </c>
      <c r="AA634" s="44">
        <f t="shared" si="904"/>
        <v>0</v>
      </c>
      <c r="AB634" s="21">
        <f t="shared" si="957"/>
        <v>1</v>
      </c>
      <c r="AC634" s="119">
        <f>ROUND(I634+mwreg!$G$71/100,3)</f>
        <v>-1.0409999999999999</v>
      </c>
      <c r="AD634" s="108">
        <f>ROUND(J634+mwreg!$G$71/100,3)</f>
        <v>1.661</v>
      </c>
      <c r="AE634" s="108">
        <f>ROUND(K634+mwreg!$G$71/100,3)</f>
        <v>0.128</v>
      </c>
      <c r="AF634" s="102">
        <f t="shared" si="927"/>
        <v>0.26790000000000003</v>
      </c>
      <c r="AG634" s="102">
        <f t="shared" si="928"/>
        <v>4.2799999999999998E-2</v>
      </c>
      <c r="AH634" s="109">
        <f t="shared" si="913"/>
        <v>4.6199999999999998E-2</v>
      </c>
      <c r="AI634" s="110">
        <f t="shared" si="914"/>
        <v>180</v>
      </c>
      <c r="AJ634" s="110">
        <f t="shared" si="915"/>
        <v>60</v>
      </c>
      <c r="AK634" s="108">
        <f t="shared" si="916"/>
        <v>1E-3</v>
      </c>
      <c r="AL634" s="110">
        <f t="shared" si="917"/>
        <v>3</v>
      </c>
      <c r="AM634" s="110">
        <f t="shared" si="918"/>
        <v>1500</v>
      </c>
      <c r="AN634" s="108">
        <f t="shared" si="919"/>
        <v>0.1</v>
      </c>
      <c r="AO634" s="186" t="str">
        <f t="shared" si="920"/>
        <v>NaN</v>
      </c>
    </row>
    <row r="635" spans="1:41" x14ac:dyDescent="0.2">
      <c r="A635" s="3" t="s">
        <v>296</v>
      </c>
      <c r="B635" s="3" t="s">
        <v>296</v>
      </c>
      <c r="C635" s="52">
        <v>35134</v>
      </c>
      <c r="D635" s="105">
        <v>56.892000000000003</v>
      </c>
      <c r="E635" s="105">
        <v>12.4895</v>
      </c>
      <c r="F635" s="20">
        <v>8195</v>
      </c>
      <c r="G635" s="18">
        <v>0</v>
      </c>
      <c r="H635" s="53">
        <v>2</v>
      </c>
      <c r="I635" s="167">
        <f t="shared" si="967"/>
        <v>-1.0860000000000001</v>
      </c>
      <c r="J635" s="104">
        <f t="shared" si="967"/>
        <v>1.262</v>
      </c>
      <c r="K635" s="104">
        <f t="shared" si="967"/>
        <v>3.1E-2</v>
      </c>
      <c r="L635" s="105">
        <f t="shared" si="968"/>
        <v>0.2777</v>
      </c>
      <c r="M635" s="105">
        <f t="shared" ref="M635:N635" si="969">ROUND(0.275*M599+0.725*M671,4)</f>
        <v>8.1100000000000005E-2</v>
      </c>
      <c r="N635" s="105">
        <f t="shared" si="969"/>
        <v>8.4400000000000003E-2</v>
      </c>
      <c r="O635" s="20">
        <f t="shared" ref="O635:P635" si="970">ROUND(0.275*O599+0.725*O671,0)</f>
        <v>180</v>
      </c>
      <c r="P635" s="20">
        <f t="shared" si="970"/>
        <v>60</v>
      </c>
      <c r="Q635" s="104">
        <f t="shared" ref="Q635:Q645" si="971">ROUND(0.275*Q599+0.725*Q671,3)</f>
        <v>1E-3</v>
      </c>
      <c r="R635" s="20">
        <f t="shared" ref="R635:S635" si="972">ROUND(0.275*R599+0.725*R671,0)</f>
        <v>3</v>
      </c>
      <c r="S635" s="20">
        <f t="shared" si="972"/>
        <v>1500</v>
      </c>
      <c r="T635" s="104">
        <f t="shared" ref="T635:T645" si="973">ROUND(0.275*T599+0.725*T671,3)</f>
        <v>0.1</v>
      </c>
      <c r="U635" s="123" t="s">
        <v>282</v>
      </c>
      <c r="V635" s="21"/>
      <c r="W635" s="58">
        <f t="shared" si="900"/>
        <v>35134</v>
      </c>
      <c r="X635" s="102">
        <f t="shared" si="901"/>
        <v>56.892000000000003</v>
      </c>
      <c r="Y635" s="102">
        <f t="shared" si="902"/>
        <v>12.4895</v>
      </c>
      <c r="Z635" s="21">
        <f t="shared" si="903"/>
        <v>8195</v>
      </c>
      <c r="AA635" s="44">
        <f t="shared" si="904"/>
        <v>0</v>
      </c>
      <c r="AB635" s="21">
        <f t="shared" si="957"/>
        <v>2</v>
      </c>
      <c r="AC635" s="119">
        <f>ROUND(I635+mwreg!$G$71/100,3)</f>
        <v>-1.036</v>
      </c>
      <c r="AD635" s="108">
        <f>ROUND(J635+mwreg!$G$71/100,3)</f>
        <v>1.3120000000000001</v>
      </c>
      <c r="AE635" s="108">
        <f>ROUND(K635+mwreg!$G$71/100,3)</f>
        <v>8.1000000000000003E-2</v>
      </c>
      <c r="AF635" s="102">
        <f t="shared" si="927"/>
        <v>0.2777</v>
      </c>
      <c r="AG635" s="102">
        <f t="shared" si="928"/>
        <v>8.1100000000000005E-2</v>
      </c>
      <c r="AH635" s="109">
        <f t="shared" si="913"/>
        <v>8.4400000000000003E-2</v>
      </c>
      <c r="AI635" s="110">
        <f t="shared" si="914"/>
        <v>180</v>
      </c>
      <c r="AJ635" s="110">
        <f t="shared" si="915"/>
        <v>60</v>
      </c>
      <c r="AK635" s="108">
        <f t="shared" si="916"/>
        <v>1E-3</v>
      </c>
      <c r="AL635" s="110">
        <f t="shared" si="917"/>
        <v>3</v>
      </c>
      <c r="AM635" s="110">
        <f t="shared" si="918"/>
        <v>1500</v>
      </c>
      <c r="AN635" s="108">
        <f t="shared" si="919"/>
        <v>0.1</v>
      </c>
      <c r="AO635" s="186" t="str">
        <f t="shared" si="920"/>
        <v>NaN</v>
      </c>
    </row>
    <row r="636" spans="1:41" x14ac:dyDescent="0.2">
      <c r="A636" s="3" t="s">
        <v>296</v>
      </c>
      <c r="B636" s="3" t="s">
        <v>296</v>
      </c>
      <c r="C636" s="52">
        <v>35134</v>
      </c>
      <c r="D636" s="105">
        <v>56.892000000000003</v>
      </c>
      <c r="E636" s="105">
        <v>12.4895</v>
      </c>
      <c r="F636" s="20">
        <v>8195</v>
      </c>
      <c r="G636" s="18">
        <v>0</v>
      </c>
      <c r="H636" s="53">
        <v>3</v>
      </c>
      <c r="I636" s="167">
        <f t="shared" si="967"/>
        <v>-0.80500000000000005</v>
      </c>
      <c r="J636" s="104">
        <f t="shared" si="967"/>
        <v>1.262</v>
      </c>
      <c r="K636" s="104">
        <f t="shared" si="967"/>
        <v>-4.4999999999999998E-2</v>
      </c>
      <c r="L636" s="105">
        <f t="shared" si="968"/>
        <v>0.2167</v>
      </c>
      <c r="M636" s="105">
        <f t="shared" ref="M636:N636" si="974">ROUND(0.275*M600+0.725*M672,4)</f>
        <v>4.6300000000000001E-2</v>
      </c>
      <c r="N636" s="105">
        <f t="shared" si="974"/>
        <v>4.9000000000000002E-2</v>
      </c>
      <c r="O636" s="20">
        <f t="shared" ref="O636:P636" si="975">ROUND(0.275*O600+0.725*O672,0)</f>
        <v>180</v>
      </c>
      <c r="P636" s="20">
        <f t="shared" si="975"/>
        <v>60</v>
      </c>
      <c r="Q636" s="104">
        <f t="shared" si="971"/>
        <v>1E-3</v>
      </c>
      <c r="R636" s="20">
        <f t="shared" ref="R636:S636" si="976">ROUND(0.275*R600+0.725*R672,0)</f>
        <v>3</v>
      </c>
      <c r="S636" s="20">
        <f t="shared" si="976"/>
        <v>1500</v>
      </c>
      <c r="T636" s="104">
        <f t="shared" si="973"/>
        <v>0.1</v>
      </c>
      <c r="U636" s="123" t="s">
        <v>282</v>
      </c>
      <c r="V636" s="21"/>
      <c r="W636" s="58">
        <f t="shared" si="900"/>
        <v>35134</v>
      </c>
      <c r="X636" s="102">
        <f t="shared" si="901"/>
        <v>56.892000000000003</v>
      </c>
      <c r="Y636" s="102">
        <f t="shared" si="902"/>
        <v>12.4895</v>
      </c>
      <c r="Z636" s="21">
        <f t="shared" si="903"/>
        <v>8195</v>
      </c>
      <c r="AA636" s="44">
        <f t="shared" si="904"/>
        <v>0</v>
      </c>
      <c r="AB636" s="21">
        <f t="shared" si="957"/>
        <v>3</v>
      </c>
      <c r="AC636" s="119">
        <f>ROUND(I636+mwreg!$G$71/100,3)</f>
        <v>-0.755</v>
      </c>
      <c r="AD636" s="108">
        <f>ROUND(J636+mwreg!$G$71/100,3)</f>
        <v>1.3120000000000001</v>
      </c>
      <c r="AE636" s="108">
        <f>ROUND(K636+mwreg!$G$71/100,3)</f>
        <v>5.0000000000000001E-3</v>
      </c>
      <c r="AF636" s="102">
        <f t="shared" si="927"/>
        <v>0.2167</v>
      </c>
      <c r="AG636" s="102">
        <f t="shared" si="928"/>
        <v>4.6300000000000001E-2</v>
      </c>
      <c r="AH636" s="109">
        <f t="shared" si="913"/>
        <v>4.9000000000000002E-2</v>
      </c>
      <c r="AI636" s="110">
        <f t="shared" si="914"/>
        <v>180</v>
      </c>
      <c r="AJ636" s="110">
        <f t="shared" si="915"/>
        <v>60</v>
      </c>
      <c r="AK636" s="108">
        <f t="shared" si="916"/>
        <v>1E-3</v>
      </c>
      <c r="AL636" s="110">
        <f t="shared" si="917"/>
        <v>3</v>
      </c>
      <c r="AM636" s="110">
        <f t="shared" si="918"/>
        <v>1500</v>
      </c>
      <c r="AN636" s="108">
        <f t="shared" si="919"/>
        <v>0.1</v>
      </c>
      <c r="AO636" s="186" t="str">
        <f t="shared" si="920"/>
        <v>NaN</v>
      </c>
    </row>
    <row r="637" spans="1:41" x14ac:dyDescent="0.2">
      <c r="A637" s="3" t="s">
        <v>296</v>
      </c>
      <c r="B637" s="3" t="s">
        <v>296</v>
      </c>
      <c r="C637" s="52">
        <v>35134</v>
      </c>
      <c r="D637" s="105">
        <v>56.892000000000003</v>
      </c>
      <c r="E637" s="105">
        <v>12.4895</v>
      </c>
      <c r="F637" s="20">
        <v>8195</v>
      </c>
      <c r="G637" s="18">
        <v>0</v>
      </c>
      <c r="H637" s="53">
        <v>4</v>
      </c>
      <c r="I637" s="167">
        <f t="shared" si="967"/>
        <v>-0.71299999999999997</v>
      </c>
      <c r="J637" s="104">
        <f t="shared" si="967"/>
        <v>0.85899999999999999</v>
      </c>
      <c r="K637" s="104">
        <f t="shared" si="967"/>
        <v>-8.5000000000000006E-2</v>
      </c>
      <c r="L637" s="105">
        <f t="shared" si="968"/>
        <v>0.1507</v>
      </c>
      <c r="M637" s="105">
        <f t="shared" ref="M637:N637" si="977">ROUND(0.275*M601+0.725*M673,4)</f>
        <v>8.9599999999999999E-2</v>
      </c>
      <c r="N637" s="105">
        <f t="shared" si="977"/>
        <v>9.2200000000000004E-2</v>
      </c>
      <c r="O637" s="20">
        <f t="shared" ref="O637:P637" si="978">ROUND(0.275*O601+0.725*O673,0)</f>
        <v>180</v>
      </c>
      <c r="P637" s="20">
        <f t="shared" si="978"/>
        <v>60</v>
      </c>
      <c r="Q637" s="104">
        <f t="shared" si="971"/>
        <v>1E-3</v>
      </c>
      <c r="R637" s="20">
        <f t="shared" ref="R637:S637" si="979">ROUND(0.275*R601+0.725*R673,0)</f>
        <v>3</v>
      </c>
      <c r="S637" s="20">
        <f t="shared" si="979"/>
        <v>1500</v>
      </c>
      <c r="T637" s="104">
        <f t="shared" si="973"/>
        <v>0.1</v>
      </c>
      <c r="U637" s="123" t="s">
        <v>282</v>
      </c>
      <c r="V637" s="21"/>
      <c r="W637" s="58">
        <f t="shared" si="900"/>
        <v>35134</v>
      </c>
      <c r="X637" s="102">
        <f t="shared" si="901"/>
        <v>56.892000000000003</v>
      </c>
      <c r="Y637" s="102">
        <f t="shared" si="902"/>
        <v>12.4895</v>
      </c>
      <c r="Z637" s="21">
        <f t="shared" si="903"/>
        <v>8195</v>
      </c>
      <c r="AA637" s="44">
        <f t="shared" si="904"/>
        <v>0</v>
      </c>
      <c r="AB637" s="21">
        <f t="shared" si="957"/>
        <v>4</v>
      </c>
      <c r="AC637" s="119">
        <f>ROUND(I637+mwreg!$G$71/100,3)</f>
        <v>-0.66300000000000003</v>
      </c>
      <c r="AD637" s="108">
        <f>ROUND(J637+mwreg!$G$71/100,3)</f>
        <v>0.90900000000000003</v>
      </c>
      <c r="AE637" s="108">
        <f>ROUND(K637+mwreg!$G$71/100,3)</f>
        <v>-3.5000000000000003E-2</v>
      </c>
      <c r="AF637" s="102">
        <f t="shared" si="927"/>
        <v>0.1507</v>
      </c>
      <c r="AG637" s="102">
        <f t="shared" si="928"/>
        <v>8.9599999999999999E-2</v>
      </c>
      <c r="AH637" s="109">
        <f t="shared" si="913"/>
        <v>9.2200000000000004E-2</v>
      </c>
      <c r="AI637" s="110">
        <f t="shared" si="914"/>
        <v>180</v>
      </c>
      <c r="AJ637" s="110">
        <f t="shared" si="915"/>
        <v>60</v>
      </c>
      <c r="AK637" s="108">
        <f t="shared" si="916"/>
        <v>1E-3</v>
      </c>
      <c r="AL637" s="110">
        <f t="shared" si="917"/>
        <v>3</v>
      </c>
      <c r="AM637" s="110">
        <f t="shared" si="918"/>
        <v>1500</v>
      </c>
      <c r="AN637" s="108">
        <f t="shared" si="919"/>
        <v>0.1</v>
      </c>
      <c r="AO637" s="186" t="str">
        <f t="shared" si="920"/>
        <v>NaN</v>
      </c>
    </row>
    <row r="638" spans="1:41" x14ac:dyDescent="0.2">
      <c r="A638" s="3" t="s">
        <v>296</v>
      </c>
      <c r="B638" s="3" t="s">
        <v>296</v>
      </c>
      <c r="C638" s="52">
        <v>35134</v>
      </c>
      <c r="D638" s="105">
        <v>56.892000000000003</v>
      </c>
      <c r="E638" s="105">
        <v>12.4895</v>
      </c>
      <c r="F638" s="20">
        <v>8195</v>
      </c>
      <c r="G638" s="18">
        <v>0</v>
      </c>
      <c r="H638" s="53">
        <v>5</v>
      </c>
      <c r="I638" s="167">
        <f t="shared" si="967"/>
        <v>-0.55200000000000005</v>
      </c>
      <c r="J638" s="104">
        <f t="shared" si="967"/>
        <v>0.60499999999999998</v>
      </c>
      <c r="K638" s="104">
        <f t="shared" si="967"/>
        <v>-5.0999999999999997E-2</v>
      </c>
      <c r="L638" s="105">
        <f t="shared" si="968"/>
        <v>0.13100000000000001</v>
      </c>
      <c r="M638" s="105">
        <f t="shared" ref="M638:N638" si="980">ROUND(0.275*M602+0.725*M674,4)</f>
        <v>4.8399999999999999E-2</v>
      </c>
      <c r="N638" s="105">
        <f t="shared" si="980"/>
        <v>5.0900000000000001E-2</v>
      </c>
      <c r="O638" s="20">
        <f t="shared" ref="O638:P638" si="981">ROUND(0.275*O602+0.725*O674,0)</f>
        <v>180</v>
      </c>
      <c r="P638" s="20">
        <f t="shared" si="981"/>
        <v>60</v>
      </c>
      <c r="Q638" s="104">
        <f t="shared" si="971"/>
        <v>1E-3</v>
      </c>
      <c r="R638" s="20">
        <f t="shared" ref="R638:S638" si="982">ROUND(0.275*R602+0.725*R674,0)</f>
        <v>3</v>
      </c>
      <c r="S638" s="20">
        <f t="shared" si="982"/>
        <v>1500</v>
      </c>
      <c r="T638" s="104">
        <f t="shared" si="973"/>
        <v>0.1</v>
      </c>
      <c r="U638" s="123" t="s">
        <v>282</v>
      </c>
      <c r="V638" s="21"/>
      <c r="W638" s="58">
        <f t="shared" si="900"/>
        <v>35134</v>
      </c>
      <c r="X638" s="102">
        <f t="shared" si="901"/>
        <v>56.892000000000003</v>
      </c>
      <c r="Y638" s="102">
        <f t="shared" si="902"/>
        <v>12.4895</v>
      </c>
      <c r="Z638" s="21">
        <f t="shared" si="903"/>
        <v>8195</v>
      </c>
      <c r="AA638" s="44">
        <f t="shared" si="904"/>
        <v>0</v>
      </c>
      <c r="AB638" s="21">
        <f t="shared" si="957"/>
        <v>5</v>
      </c>
      <c r="AC638" s="119">
        <f>ROUND(I638+mwreg!$G$71/100,3)</f>
        <v>-0.502</v>
      </c>
      <c r="AD638" s="108">
        <f>ROUND(J638+mwreg!$G$71/100,3)</f>
        <v>0.65500000000000003</v>
      </c>
      <c r="AE638" s="108">
        <f>ROUND(K638+mwreg!$G$71/100,3)</f>
        <v>-1E-3</v>
      </c>
      <c r="AF638" s="102">
        <f t="shared" si="927"/>
        <v>0.13100000000000001</v>
      </c>
      <c r="AG638" s="102">
        <f t="shared" si="928"/>
        <v>4.8399999999999999E-2</v>
      </c>
      <c r="AH638" s="109">
        <f t="shared" si="913"/>
        <v>5.0900000000000001E-2</v>
      </c>
      <c r="AI638" s="110">
        <f t="shared" si="914"/>
        <v>180</v>
      </c>
      <c r="AJ638" s="110">
        <f t="shared" si="915"/>
        <v>60</v>
      </c>
      <c r="AK638" s="108">
        <f t="shared" si="916"/>
        <v>1E-3</v>
      </c>
      <c r="AL638" s="110">
        <f t="shared" si="917"/>
        <v>3</v>
      </c>
      <c r="AM638" s="110">
        <f t="shared" si="918"/>
        <v>1500</v>
      </c>
      <c r="AN638" s="108">
        <f t="shared" si="919"/>
        <v>0.1</v>
      </c>
      <c r="AO638" s="186" t="str">
        <f t="shared" si="920"/>
        <v>NaN</v>
      </c>
    </row>
    <row r="639" spans="1:41" x14ac:dyDescent="0.2">
      <c r="A639" s="3" t="s">
        <v>296</v>
      </c>
      <c r="B639" s="3" t="s">
        <v>296</v>
      </c>
      <c r="C639" s="52">
        <v>35134</v>
      </c>
      <c r="D639" s="105">
        <v>56.892000000000003</v>
      </c>
      <c r="E639" s="105">
        <v>12.4895</v>
      </c>
      <c r="F639" s="20">
        <v>8195</v>
      </c>
      <c r="G639" s="18">
        <v>0</v>
      </c>
      <c r="H639" s="53">
        <v>6</v>
      </c>
      <c r="I639" s="167">
        <f t="shared" si="967"/>
        <v>-0.441</v>
      </c>
      <c r="J639" s="104">
        <f t="shared" si="967"/>
        <v>0.70199999999999996</v>
      </c>
      <c r="K639" s="104">
        <f t="shared" si="967"/>
        <v>-8.0000000000000002E-3</v>
      </c>
      <c r="L639" s="105">
        <f t="shared" si="968"/>
        <v>0.1201</v>
      </c>
      <c r="M639" s="105">
        <f t="shared" ref="M639:N639" si="983">ROUND(0.275*M603+0.725*M675,4)</f>
        <v>0.1095</v>
      </c>
      <c r="N639" s="105">
        <f t="shared" si="983"/>
        <v>0.1123</v>
      </c>
      <c r="O639" s="20">
        <f t="shared" ref="O639:P639" si="984">ROUND(0.275*O603+0.725*O675,0)</f>
        <v>180</v>
      </c>
      <c r="P639" s="20">
        <f t="shared" si="984"/>
        <v>60</v>
      </c>
      <c r="Q639" s="104">
        <f t="shared" si="971"/>
        <v>1E-3</v>
      </c>
      <c r="R639" s="20">
        <f t="shared" ref="R639:S639" si="985">ROUND(0.275*R603+0.725*R675,0)</f>
        <v>3</v>
      </c>
      <c r="S639" s="20">
        <f t="shared" si="985"/>
        <v>1500</v>
      </c>
      <c r="T639" s="104">
        <f t="shared" si="973"/>
        <v>0.1</v>
      </c>
      <c r="U639" s="123" t="s">
        <v>282</v>
      </c>
      <c r="V639" s="21"/>
      <c r="W639" s="58">
        <f t="shared" si="900"/>
        <v>35134</v>
      </c>
      <c r="X639" s="102">
        <f t="shared" si="901"/>
        <v>56.892000000000003</v>
      </c>
      <c r="Y639" s="102">
        <f t="shared" si="902"/>
        <v>12.4895</v>
      </c>
      <c r="Z639" s="21">
        <f t="shared" si="903"/>
        <v>8195</v>
      </c>
      <c r="AA639" s="44">
        <f t="shared" si="904"/>
        <v>0</v>
      </c>
      <c r="AB639" s="21">
        <f t="shared" si="957"/>
        <v>6</v>
      </c>
      <c r="AC639" s="119">
        <f>ROUND(I639+mwreg!$G$71/100,3)</f>
        <v>-0.39100000000000001</v>
      </c>
      <c r="AD639" s="108">
        <f>ROUND(J639+mwreg!$G$71/100,3)</f>
        <v>0.752</v>
      </c>
      <c r="AE639" s="108">
        <f>ROUND(K639+mwreg!$G$71/100,3)</f>
        <v>4.2000000000000003E-2</v>
      </c>
      <c r="AF639" s="102">
        <f t="shared" si="927"/>
        <v>0.1201</v>
      </c>
      <c r="AG639" s="102">
        <f t="shared" si="928"/>
        <v>0.1095</v>
      </c>
      <c r="AH639" s="109">
        <f t="shared" si="913"/>
        <v>0.1123</v>
      </c>
      <c r="AI639" s="110">
        <f t="shared" si="914"/>
        <v>180</v>
      </c>
      <c r="AJ639" s="110">
        <f t="shared" si="915"/>
        <v>60</v>
      </c>
      <c r="AK639" s="108">
        <f t="shared" si="916"/>
        <v>1E-3</v>
      </c>
      <c r="AL639" s="110">
        <f t="shared" si="917"/>
        <v>3</v>
      </c>
      <c r="AM639" s="110">
        <f t="shared" si="918"/>
        <v>1500</v>
      </c>
      <c r="AN639" s="108">
        <f t="shared" si="919"/>
        <v>0.1</v>
      </c>
      <c r="AO639" s="186" t="str">
        <f t="shared" si="920"/>
        <v>NaN</v>
      </c>
    </row>
    <row r="640" spans="1:41" x14ac:dyDescent="0.2">
      <c r="A640" s="3" t="s">
        <v>296</v>
      </c>
      <c r="B640" s="3" t="s">
        <v>296</v>
      </c>
      <c r="C640" s="52">
        <v>35134</v>
      </c>
      <c r="D640" s="105">
        <v>56.892000000000003</v>
      </c>
      <c r="E640" s="105">
        <v>12.4895</v>
      </c>
      <c r="F640" s="20">
        <v>8195</v>
      </c>
      <c r="G640" s="18">
        <v>0</v>
      </c>
      <c r="H640" s="53">
        <v>7</v>
      </c>
      <c r="I640" s="167">
        <f t="shared" si="967"/>
        <v>-0.36899999999999999</v>
      </c>
      <c r="J640" s="104">
        <f t="shared" si="967"/>
        <v>0.78</v>
      </c>
      <c r="K640" s="104">
        <f t="shared" si="967"/>
        <v>7.0999999999999994E-2</v>
      </c>
      <c r="L640" s="105">
        <f t="shared" si="968"/>
        <v>0.1255</v>
      </c>
      <c r="M640" s="105">
        <f t="shared" ref="M640:N640" si="986">ROUND(0.275*M604+0.725*M676,4)</f>
        <v>4.6100000000000002E-2</v>
      </c>
      <c r="N640" s="105">
        <f t="shared" si="986"/>
        <v>4.8500000000000001E-2</v>
      </c>
      <c r="O640" s="20">
        <f t="shared" ref="O640:P640" si="987">ROUND(0.275*O604+0.725*O676,0)</f>
        <v>180</v>
      </c>
      <c r="P640" s="20">
        <f t="shared" si="987"/>
        <v>60</v>
      </c>
      <c r="Q640" s="104">
        <f t="shared" si="971"/>
        <v>1E-3</v>
      </c>
      <c r="R640" s="20">
        <f t="shared" ref="R640:S640" si="988">ROUND(0.275*R604+0.725*R676,0)</f>
        <v>3</v>
      </c>
      <c r="S640" s="20">
        <f t="shared" si="988"/>
        <v>1500</v>
      </c>
      <c r="T640" s="104">
        <f t="shared" si="973"/>
        <v>0.1</v>
      </c>
      <c r="U640" s="123" t="s">
        <v>282</v>
      </c>
      <c r="V640" s="21"/>
      <c r="W640" s="58">
        <f t="shared" si="900"/>
        <v>35134</v>
      </c>
      <c r="X640" s="102">
        <f t="shared" si="901"/>
        <v>56.892000000000003</v>
      </c>
      <c r="Y640" s="102">
        <f t="shared" si="902"/>
        <v>12.4895</v>
      </c>
      <c r="Z640" s="21">
        <f t="shared" si="903"/>
        <v>8195</v>
      </c>
      <c r="AA640" s="44">
        <f t="shared" si="904"/>
        <v>0</v>
      </c>
      <c r="AB640" s="21">
        <f t="shared" si="957"/>
        <v>7</v>
      </c>
      <c r="AC640" s="119">
        <f>ROUND(I640+mwreg!$G$71/100,3)</f>
        <v>-0.31900000000000001</v>
      </c>
      <c r="AD640" s="108">
        <f>ROUND(J640+mwreg!$G$71/100,3)</f>
        <v>0.83</v>
      </c>
      <c r="AE640" s="108">
        <f>ROUND(K640+mwreg!$G$71/100,3)</f>
        <v>0.121</v>
      </c>
      <c r="AF640" s="102">
        <f t="shared" si="927"/>
        <v>0.1255</v>
      </c>
      <c r="AG640" s="102">
        <f t="shared" si="928"/>
        <v>4.6100000000000002E-2</v>
      </c>
      <c r="AH640" s="109">
        <f t="shared" si="913"/>
        <v>4.8500000000000001E-2</v>
      </c>
      <c r="AI640" s="110">
        <f t="shared" si="914"/>
        <v>180</v>
      </c>
      <c r="AJ640" s="110">
        <f t="shared" si="915"/>
        <v>60</v>
      </c>
      <c r="AK640" s="108">
        <f t="shared" si="916"/>
        <v>1E-3</v>
      </c>
      <c r="AL640" s="110">
        <f t="shared" si="917"/>
        <v>3</v>
      </c>
      <c r="AM640" s="110">
        <f t="shared" si="918"/>
        <v>1500</v>
      </c>
      <c r="AN640" s="108">
        <f t="shared" si="919"/>
        <v>0.1</v>
      </c>
      <c r="AO640" s="186" t="str">
        <f t="shared" si="920"/>
        <v>NaN</v>
      </c>
    </row>
    <row r="641" spans="1:41" x14ac:dyDescent="0.2">
      <c r="A641" s="3" t="s">
        <v>296</v>
      </c>
      <c r="B641" s="3" t="s">
        <v>296</v>
      </c>
      <c r="C641" s="52">
        <v>35134</v>
      </c>
      <c r="D641" s="105">
        <v>56.892000000000003</v>
      </c>
      <c r="E641" s="105">
        <v>12.4895</v>
      </c>
      <c r="F641" s="20">
        <v>8195</v>
      </c>
      <c r="G641" s="18">
        <v>0</v>
      </c>
      <c r="H641" s="53">
        <v>8</v>
      </c>
      <c r="I641" s="167">
        <f t="shared" si="967"/>
        <v>-0.33900000000000002</v>
      </c>
      <c r="J641" s="104">
        <f t="shared" si="967"/>
        <v>0.94699999999999995</v>
      </c>
      <c r="K641" s="104">
        <f t="shared" si="967"/>
        <v>6.8000000000000005E-2</v>
      </c>
      <c r="L641" s="105">
        <f t="shared" si="968"/>
        <v>0.1212</v>
      </c>
      <c r="M641" s="105">
        <f t="shared" ref="M641:N641" si="989">ROUND(0.275*M605+0.725*M677,4)</f>
        <v>6.1699999999999998E-2</v>
      </c>
      <c r="N641" s="105">
        <f t="shared" si="989"/>
        <v>6.4399999999999999E-2</v>
      </c>
      <c r="O641" s="20">
        <f t="shared" ref="O641:P641" si="990">ROUND(0.275*O605+0.725*O677,0)</f>
        <v>180</v>
      </c>
      <c r="P641" s="20">
        <f t="shared" si="990"/>
        <v>60</v>
      </c>
      <c r="Q641" s="104">
        <f t="shared" si="971"/>
        <v>1E-3</v>
      </c>
      <c r="R641" s="20">
        <f t="shared" ref="R641:S641" si="991">ROUND(0.275*R605+0.725*R677,0)</f>
        <v>3</v>
      </c>
      <c r="S641" s="20">
        <f t="shared" si="991"/>
        <v>1500</v>
      </c>
      <c r="T641" s="104">
        <f t="shared" si="973"/>
        <v>0.1</v>
      </c>
      <c r="U641" s="123" t="s">
        <v>282</v>
      </c>
      <c r="V641" s="21"/>
      <c r="W641" s="58">
        <f t="shared" si="900"/>
        <v>35134</v>
      </c>
      <c r="X641" s="102">
        <f t="shared" si="901"/>
        <v>56.892000000000003</v>
      </c>
      <c r="Y641" s="102">
        <f t="shared" si="902"/>
        <v>12.4895</v>
      </c>
      <c r="Z641" s="21">
        <f t="shared" si="903"/>
        <v>8195</v>
      </c>
      <c r="AA641" s="44">
        <f t="shared" si="904"/>
        <v>0</v>
      </c>
      <c r="AB641" s="21">
        <f t="shared" si="957"/>
        <v>8</v>
      </c>
      <c r="AC641" s="119">
        <f>ROUND(I641+mwreg!$G$71/100,3)</f>
        <v>-0.28899999999999998</v>
      </c>
      <c r="AD641" s="108">
        <f>ROUND(J641+mwreg!$G$71/100,3)</f>
        <v>0.997</v>
      </c>
      <c r="AE641" s="108">
        <f>ROUND(K641+mwreg!$G$71/100,3)</f>
        <v>0.11799999999999999</v>
      </c>
      <c r="AF641" s="102">
        <f t="shared" si="927"/>
        <v>0.1212</v>
      </c>
      <c r="AG641" s="102">
        <f t="shared" si="928"/>
        <v>6.1699999999999998E-2</v>
      </c>
      <c r="AH641" s="109">
        <f t="shared" si="913"/>
        <v>6.4399999999999999E-2</v>
      </c>
      <c r="AI641" s="110">
        <f t="shared" si="914"/>
        <v>180</v>
      </c>
      <c r="AJ641" s="110">
        <f t="shared" si="915"/>
        <v>60</v>
      </c>
      <c r="AK641" s="108">
        <f t="shared" si="916"/>
        <v>1E-3</v>
      </c>
      <c r="AL641" s="110">
        <f t="shared" si="917"/>
        <v>3</v>
      </c>
      <c r="AM641" s="110">
        <f t="shared" si="918"/>
        <v>1500</v>
      </c>
      <c r="AN641" s="108">
        <f t="shared" si="919"/>
        <v>0.1</v>
      </c>
      <c r="AO641" s="186" t="str">
        <f t="shared" si="920"/>
        <v>NaN</v>
      </c>
    </row>
    <row r="642" spans="1:41" x14ac:dyDescent="0.2">
      <c r="A642" s="3" t="s">
        <v>296</v>
      </c>
      <c r="B642" s="3" t="s">
        <v>296</v>
      </c>
      <c r="C642" s="52">
        <v>35134</v>
      </c>
      <c r="D642" s="105">
        <v>56.892000000000003</v>
      </c>
      <c r="E642" s="105">
        <v>12.4895</v>
      </c>
      <c r="F642" s="20">
        <v>8195</v>
      </c>
      <c r="G642" s="18">
        <v>0</v>
      </c>
      <c r="H642" s="53">
        <v>9</v>
      </c>
      <c r="I642" s="167">
        <f t="shared" si="967"/>
        <v>-0.47799999999999998</v>
      </c>
      <c r="J642" s="104">
        <f t="shared" si="967"/>
        <v>1.161</v>
      </c>
      <c r="K642" s="104">
        <f t="shared" si="967"/>
        <v>9.6000000000000002E-2</v>
      </c>
      <c r="L642" s="105">
        <f t="shared" si="968"/>
        <v>0.17100000000000001</v>
      </c>
      <c r="M642" s="105">
        <f t="shared" ref="M642:N642" si="992">ROUND(0.275*M606+0.725*M678,4)</f>
        <v>5.1299999999999998E-2</v>
      </c>
      <c r="N642" s="105">
        <f t="shared" si="992"/>
        <v>5.3999999999999999E-2</v>
      </c>
      <c r="O642" s="20">
        <f t="shared" ref="O642:P642" si="993">ROUND(0.275*O606+0.725*O678,0)</f>
        <v>180</v>
      </c>
      <c r="P642" s="20">
        <f t="shared" si="993"/>
        <v>60</v>
      </c>
      <c r="Q642" s="104">
        <f t="shared" si="971"/>
        <v>1E-3</v>
      </c>
      <c r="R642" s="20">
        <f t="shared" ref="R642:S642" si="994">ROUND(0.275*R606+0.725*R678,0)</f>
        <v>3</v>
      </c>
      <c r="S642" s="20">
        <f t="shared" si="994"/>
        <v>1500</v>
      </c>
      <c r="T642" s="104">
        <f t="shared" si="973"/>
        <v>0.1</v>
      </c>
      <c r="U642" s="123" t="s">
        <v>282</v>
      </c>
      <c r="V642" s="21"/>
      <c r="W642" s="58">
        <f t="shared" ref="W642:W705" si="995">C642</f>
        <v>35134</v>
      </c>
      <c r="X642" s="102">
        <f t="shared" ref="X642:X705" si="996">D642</f>
        <v>56.892000000000003</v>
      </c>
      <c r="Y642" s="102">
        <f t="shared" ref="Y642:Y705" si="997">E642</f>
        <v>12.4895</v>
      </c>
      <c r="Z642" s="21">
        <f t="shared" ref="Z642:Z705" si="998">F642</f>
        <v>8195</v>
      </c>
      <c r="AA642" s="44">
        <f t="shared" ref="AA642:AA705" si="999">G642</f>
        <v>0</v>
      </c>
      <c r="AB642" s="21">
        <f t="shared" si="957"/>
        <v>9</v>
      </c>
      <c r="AC642" s="119">
        <f>ROUND(I642+mwreg!$G$71/100,3)</f>
        <v>-0.42799999999999999</v>
      </c>
      <c r="AD642" s="108">
        <f>ROUND(J642+mwreg!$G$71/100,3)</f>
        <v>1.2110000000000001</v>
      </c>
      <c r="AE642" s="108">
        <f>ROUND(K642+mwreg!$G$71/100,3)</f>
        <v>0.14599999999999999</v>
      </c>
      <c r="AF642" s="102">
        <f t="shared" si="927"/>
        <v>0.17100000000000001</v>
      </c>
      <c r="AG642" s="102">
        <f t="shared" si="928"/>
        <v>5.1299999999999998E-2</v>
      </c>
      <c r="AH642" s="109">
        <f t="shared" si="913"/>
        <v>5.3999999999999999E-2</v>
      </c>
      <c r="AI642" s="110">
        <f t="shared" si="914"/>
        <v>180</v>
      </c>
      <c r="AJ642" s="110">
        <f t="shared" si="915"/>
        <v>60</v>
      </c>
      <c r="AK642" s="108">
        <f t="shared" si="916"/>
        <v>1E-3</v>
      </c>
      <c r="AL642" s="110">
        <f t="shared" si="917"/>
        <v>3</v>
      </c>
      <c r="AM642" s="110">
        <f t="shared" si="918"/>
        <v>1500</v>
      </c>
      <c r="AN642" s="108">
        <f t="shared" si="919"/>
        <v>0.1</v>
      </c>
      <c r="AO642" s="186" t="str">
        <f t="shared" si="920"/>
        <v>NaN</v>
      </c>
    </row>
    <row r="643" spans="1:41" x14ac:dyDescent="0.2">
      <c r="A643" s="3" t="s">
        <v>296</v>
      </c>
      <c r="B643" s="3" t="s">
        <v>296</v>
      </c>
      <c r="C643" s="52">
        <v>35134</v>
      </c>
      <c r="D643" s="105">
        <v>56.892000000000003</v>
      </c>
      <c r="E643" s="105">
        <v>12.4895</v>
      </c>
      <c r="F643" s="20">
        <v>8195</v>
      </c>
      <c r="G643" s="18">
        <v>0</v>
      </c>
      <c r="H643" s="53">
        <v>10</v>
      </c>
      <c r="I643" s="167">
        <f t="shared" si="967"/>
        <v>-0.752</v>
      </c>
      <c r="J643" s="104">
        <f t="shared" si="967"/>
        <v>1.2889999999999999</v>
      </c>
      <c r="K643" s="104">
        <f t="shared" si="967"/>
        <v>7.9000000000000001E-2</v>
      </c>
      <c r="L643" s="105">
        <f t="shared" si="968"/>
        <v>0.1928</v>
      </c>
      <c r="M643" s="105">
        <f t="shared" ref="M643:N643" si="1000">ROUND(0.275*M607+0.725*M679,4)</f>
        <v>4.8800000000000003E-2</v>
      </c>
      <c r="N643" s="105">
        <f t="shared" si="1000"/>
        <v>5.1900000000000002E-2</v>
      </c>
      <c r="O643" s="20">
        <f t="shared" ref="O643:P643" si="1001">ROUND(0.275*O607+0.725*O679,0)</f>
        <v>180</v>
      </c>
      <c r="P643" s="20">
        <f t="shared" si="1001"/>
        <v>60</v>
      </c>
      <c r="Q643" s="104">
        <f t="shared" si="971"/>
        <v>1E-3</v>
      </c>
      <c r="R643" s="20">
        <f t="shared" ref="R643:S643" si="1002">ROUND(0.275*R607+0.725*R679,0)</f>
        <v>3</v>
      </c>
      <c r="S643" s="20">
        <f t="shared" si="1002"/>
        <v>1500</v>
      </c>
      <c r="T643" s="104">
        <f t="shared" si="973"/>
        <v>0.1</v>
      </c>
      <c r="U643" s="123" t="s">
        <v>282</v>
      </c>
      <c r="V643" s="21"/>
      <c r="W643" s="58">
        <f t="shared" si="995"/>
        <v>35134</v>
      </c>
      <c r="X643" s="102">
        <f t="shared" si="996"/>
        <v>56.892000000000003</v>
      </c>
      <c r="Y643" s="102">
        <f t="shared" si="997"/>
        <v>12.4895</v>
      </c>
      <c r="Z643" s="21">
        <f t="shared" si="998"/>
        <v>8195</v>
      </c>
      <c r="AA643" s="44">
        <f t="shared" si="999"/>
        <v>0</v>
      </c>
      <c r="AB643" s="21">
        <f t="shared" si="957"/>
        <v>10</v>
      </c>
      <c r="AC643" s="119">
        <f>ROUND(I643+mwreg!$G$71/100,3)</f>
        <v>-0.70199999999999996</v>
      </c>
      <c r="AD643" s="108">
        <f>ROUND(J643+mwreg!$G$71/100,3)</f>
        <v>1.339</v>
      </c>
      <c r="AE643" s="108">
        <f>ROUND(K643+mwreg!$G$71/100,3)</f>
        <v>0.129</v>
      </c>
      <c r="AF643" s="102">
        <f t="shared" si="927"/>
        <v>0.1928</v>
      </c>
      <c r="AG643" s="102">
        <f t="shared" si="928"/>
        <v>4.8800000000000003E-2</v>
      </c>
      <c r="AH643" s="109">
        <f t="shared" si="913"/>
        <v>5.1900000000000002E-2</v>
      </c>
      <c r="AI643" s="110">
        <f t="shared" si="914"/>
        <v>180</v>
      </c>
      <c r="AJ643" s="110">
        <f t="shared" si="915"/>
        <v>60</v>
      </c>
      <c r="AK643" s="108">
        <f t="shared" si="916"/>
        <v>1E-3</v>
      </c>
      <c r="AL643" s="110">
        <f t="shared" si="917"/>
        <v>3</v>
      </c>
      <c r="AM643" s="110">
        <f t="shared" si="918"/>
        <v>1500</v>
      </c>
      <c r="AN643" s="108">
        <f t="shared" si="919"/>
        <v>0.1</v>
      </c>
      <c r="AO643" s="186" t="str">
        <f t="shared" si="920"/>
        <v>NaN</v>
      </c>
    </row>
    <row r="644" spans="1:41" x14ac:dyDescent="0.2">
      <c r="A644" s="3" t="s">
        <v>296</v>
      </c>
      <c r="B644" s="3" t="s">
        <v>296</v>
      </c>
      <c r="C644" s="52">
        <v>35134</v>
      </c>
      <c r="D644" s="105">
        <v>56.892000000000003</v>
      </c>
      <c r="E644" s="105">
        <v>12.4895</v>
      </c>
      <c r="F644" s="20">
        <v>8195</v>
      </c>
      <c r="G644" s="18">
        <v>0</v>
      </c>
      <c r="H644" s="53">
        <v>11</v>
      </c>
      <c r="I644" s="167">
        <f t="shared" si="967"/>
        <v>-0.88100000000000001</v>
      </c>
      <c r="J644" s="104">
        <f t="shared" si="967"/>
        <v>1.3939999999999999</v>
      </c>
      <c r="K644" s="104">
        <f t="shared" si="967"/>
        <v>7.2999999999999995E-2</v>
      </c>
      <c r="L644" s="105">
        <f t="shared" si="968"/>
        <v>0.21929999999999999</v>
      </c>
      <c r="M644" s="105">
        <f t="shared" ref="M644:N644" si="1003">ROUND(0.275*M608+0.725*M680,4)</f>
        <v>4.7100000000000003E-2</v>
      </c>
      <c r="N644" s="105">
        <f t="shared" si="1003"/>
        <v>5.04E-2</v>
      </c>
      <c r="O644" s="20">
        <f t="shared" ref="O644:P644" si="1004">ROUND(0.275*O608+0.725*O680,0)</f>
        <v>180</v>
      </c>
      <c r="P644" s="20">
        <f t="shared" si="1004"/>
        <v>60</v>
      </c>
      <c r="Q644" s="104">
        <f t="shared" si="971"/>
        <v>1E-3</v>
      </c>
      <c r="R644" s="20">
        <f t="shared" ref="R644:S644" si="1005">ROUND(0.275*R608+0.725*R680,0)</f>
        <v>3</v>
      </c>
      <c r="S644" s="20">
        <f t="shared" si="1005"/>
        <v>1500</v>
      </c>
      <c r="T644" s="104">
        <f t="shared" si="973"/>
        <v>0.1</v>
      </c>
      <c r="U644" s="123" t="s">
        <v>282</v>
      </c>
      <c r="V644" s="21"/>
      <c r="W644" s="58">
        <f t="shared" si="995"/>
        <v>35134</v>
      </c>
      <c r="X644" s="102">
        <f t="shared" si="996"/>
        <v>56.892000000000003</v>
      </c>
      <c r="Y644" s="102">
        <f t="shared" si="997"/>
        <v>12.4895</v>
      </c>
      <c r="Z644" s="21">
        <f t="shared" si="998"/>
        <v>8195</v>
      </c>
      <c r="AA644" s="44">
        <f t="shared" si="999"/>
        <v>0</v>
      </c>
      <c r="AB644" s="21">
        <f t="shared" si="957"/>
        <v>11</v>
      </c>
      <c r="AC644" s="119">
        <f>ROUND(I644+mwreg!$G$71/100,3)</f>
        <v>-0.83099999999999996</v>
      </c>
      <c r="AD644" s="108">
        <f>ROUND(J644+mwreg!$G$71/100,3)</f>
        <v>1.444</v>
      </c>
      <c r="AE644" s="108">
        <f>ROUND(K644+mwreg!$G$71/100,3)</f>
        <v>0.123</v>
      </c>
      <c r="AF644" s="102">
        <f t="shared" si="927"/>
        <v>0.21929999999999999</v>
      </c>
      <c r="AG644" s="102">
        <f t="shared" si="928"/>
        <v>4.7100000000000003E-2</v>
      </c>
      <c r="AH644" s="109">
        <f t="shared" si="913"/>
        <v>5.04E-2</v>
      </c>
      <c r="AI644" s="110">
        <f t="shared" si="914"/>
        <v>180</v>
      </c>
      <c r="AJ644" s="110">
        <f t="shared" si="915"/>
        <v>60</v>
      </c>
      <c r="AK644" s="108">
        <f t="shared" si="916"/>
        <v>1E-3</v>
      </c>
      <c r="AL644" s="110">
        <f t="shared" si="917"/>
        <v>3</v>
      </c>
      <c r="AM644" s="110">
        <f t="shared" si="918"/>
        <v>1500</v>
      </c>
      <c r="AN644" s="108">
        <f t="shared" si="919"/>
        <v>0.1</v>
      </c>
      <c r="AO644" s="186" t="str">
        <f t="shared" si="920"/>
        <v>NaN</v>
      </c>
    </row>
    <row r="645" spans="1:41" x14ac:dyDescent="0.2">
      <c r="A645" s="3" t="s">
        <v>296</v>
      </c>
      <c r="B645" s="3" t="s">
        <v>296</v>
      </c>
      <c r="C645" s="52">
        <v>35134</v>
      </c>
      <c r="D645" s="105">
        <v>56.892000000000003</v>
      </c>
      <c r="E645" s="105">
        <v>12.4895</v>
      </c>
      <c r="F645" s="20">
        <v>8195</v>
      </c>
      <c r="G645" s="18">
        <v>0</v>
      </c>
      <c r="H645" s="53">
        <v>12</v>
      </c>
      <c r="I645" s="167">
        <f t="shared" si="967"/>
        <v>-0.90400000000000003</v>
      </c>
      <c r="J645" s="104">
        <f t="shared" si="967"/>
        <v>1.5229999999999999</v>
      </c>
      <c r="K645" s="104">
        <f t="shared" si="967"/>
        <v>0.10299999999999999</v>
      </c>
      <c r="L645" s="105">
        <f t="shared" si="968"/>
        <v>0.24399999999999999</v>
      </c>
      <c r="M645" s="105">
        <f t="shared" ref="M645:N645" si="1006">ROUND(0.275*M609+0.725*M681,4)</f>
        <v>5.3499999999999999E-2</v>
      </c>
      <c r="N645" s="105">
        <f t="shared" si="1006"/>
        <v>5.6800000000000003E-2</v>
      </c>
      <c r="O645" s="20">
        <f t="shared" ref="O645:P645" si="1007">ROUND(0.275*O609+0.725*O681,0)</f>
        <v>180</v>
      </c>
      <c r="P645" s="20">
        <f t="shared" si="1007"/>
        <v>60</v>
      </c>
      <c r="Q645" s="104">
        <f t="shared" si="971"/>
        <v>1E-3</v>
      </c>
      <c r="R645" s="20">
        <f t="shared" ref="R645:S645" si="1008">ROUND(0.275*R609+0.725*R681,0)</f>
        <v>3</v>
      </c>
      <c r="S645" s="20">
        <f t="shared" si="1008"/>
        <v>1500</v>
      </c>
      <c r="T645" s="104">
        <f t="shared" si="973"/>
        <v>0.1</v>
      </c>
      <c r="U645" s="123" t="s">
        <v>282</v>
      </c>
      <c r="V645" s="21"/>
      <c r="W645" s="58">
        <f t="shared" si="995"/>
        <v>35134</v>
      </c>
      <c r="X645" s="102">
        <f t="shared" si="996"/>
        <v>56.892000000000003</v>
      </c>
      <c r="Y645" s="102">
        <f t="shared" si="997"/>
        <v>12.4895</v>
      </c>
      <c r="Z645" s="21">
        <f t="shared" si="998"/>
        <v>8195</v>
      </c>
      <c r="AA645" s="44">
        <f t="shared" si="999"/>
        <v>0</v>
      </c>
      <c r="AB645" s="21">
        <f t="shared" si="957"/>
        <v>12</v>
      </c>
      <c r="AC645" s="119">
        <f>ROUND(I645+mwreg!$G$71/100,3)</f>
        <v>-0.85399999999999998</v>
      </c>
      <c r="AD645" s="108">
        <f>ROUND(J645+mwreg!$G$71/100,3)</f>
        <v>1.573</v>
      </c>
      <c r="AE645" s="108">
        <f>ROUND(K645+mwreg!$G$71/100,3)</f>
        <v>0.153</v>
      </c>
      <c r="AF645" s="102">
        <f t="shared" si="927"/>
        <v>0.24399999999999999</v>
      </c>
      <c r="AG645" s="102">
        <f t="shared" si="928"/>
        <v>5.3499999999999999E-2</v>
      </c>
      <c r="AH645" s="109">
        <f t="shared" si="913"/>
        <v>5.6800000000000003E-2</v>
      </c>
      <c r="AI645" s="110">
        <f t="shared" si="914"/>
        <v>180</v>
      </c>
      <c r="AJ645" s="110">
        <f t="shared" si="915"/>
        <v>60</v>
      </c>
      <c r="AK645" s="108">
        <f t="shared" si="916"/>
        <v>1E-3</v>
      </c>
      <c r="AL645" s="110">
        <f t="shared" si="917"/>
        <v>3</v>
      </c>
      <c r="AM645" s="110">
        <f t="shared" si="918"/>
        <v>1500</v>
      </c>
      <c r="AN645" s="108">
        <f t="shared" si="919"/>
        <v>0.1</v>
      </c>
      <c r="AO645" s="186" t="str">
        <f t="shared" si="920"/>
        <v>NaN</v>
      </c>
    </row>
    <row r="646" spans="1:41" x14ac:dyDescent="0.2">
      <c r="A646" s="3" t="str">
        <f>stat_uppg!A62</f>
        <v>2104/33079</v>
      </c>
      <c r="B646" s="3" t="str">
        <f>stat_uppg!B62</f>
        <v>Varberg (SMHI) nedlagd</v>
      </c>
      <c r="C646" s="58">
        <v>2104</v>
      </c>
      <c r="D646" s="102">
        <v>57.1</v>
      </c>
      <c r="E646" s="102">
        <v>12.216699999999999</v>
      </c>
      <c r="F646" s="21">
        <v>8195</v>
      </c>
      <c r="G646" s="44">
        <v>0</v>
      </c>
      <c r="H646" s="185">
        <v>1</v>
      </c>
      <c r="I646" s="121">
        <f t="shared" ref="I646:K657" si="1009">ROUND(0.127*I598+0.873*I670,3)</f>
        <v>-1.08</v>
      </c>
      <c r="J646" s="101">
        <f t="shared" si="1009"/>
        <v>1.6319999999999999</v>
      </c>
      <c r="K646" s="101">
        <f t="shared" si="1009"/>
        <v>0.08</v>
      </c>
      <c r="L646" s="102">
        <f>ROUND(L670,4)</f>
        <v>0.26679999999999998</v>
      </c>
      <c r="M646" s="102">
        <f t="shared" ref="M646:N646" si="1010">ROUND(M670,4)</f>
        <v>2.47E-2</v>
      </c>
      <c r="N646" s="102">
        <f t="shared" si="1010"/>
        <v>2.6499999999999999E-2</v>
      </c>
      <c r="O646" s="21">
        <f>ROUND(O670,0)</f>
        <v>180</v>
      </c>
      <c r="P646" s="21">
        <f>ROUND(P670,0)</f>
        <v>60</v>
      </c>
      <c r="Q646" s="101">
        <f>ROUND(Q670,3)</f>
        <v>1E-3</v>
      </c>
      <c r="R646" s="21">
        <f>ROUND(R670,0)</f>
        <v>3</v>
      </c>
      <c r="S646" s="21">
        <f>ROUND(S670,0)</f>
        <v>1500</v>
      </c>
      <c r="T646" s="101">
        <f>ROUND(T670,3)</f>
        <v>0.1</v>
      </c>
      <c r="U646" s="103" t="s">
        <v>282</v>
      </c>
      <c r="V646" s="44"/>
      <c r="W646" s="58">
        <f t="shared" si="995"/>
        <v>2104</v>
      </c>
      <c r="X646" s="102">
        <f t="shared" si="996"/>
        <v>57.1</v>
      </c>
      <c r="Y646" s="102">
        <f t="shared" si="997"/>
        <v>12.216699999999999</v>
      </c>
      <c r="Z646" s="21">
        <f t="shared" si="998"/>
        <v>8195</v>
      </c>
      <c r="AA646" s="44">
        <f t="shared" si="999"/>
        <v>0</v>
      </c>
      <c r="AB646" s="21">
        <f t="shared" si="957"/>
        <v>1</v>
      </c>
      <c r="AC646" s="143">
        <f>ROUND(I646+mwreg!$G$72/100,3)</f>
        <v>-1.036</v>
      </c>
      <c r="AD646" s="144">
        <f>ROUND(J646+mwreg!$G$72/100,3)</f>
        <v>1.6759999999999999</v>
      </c>
      <c r="AE646" s="144">
        <f>ROUND(K646+mwreg!$G$72/100,3)</f>
        <v>0.124</v>
      </c>
      <c r="AF646" s="102">
        <f t="shared" si="927"/>
        <v>0.26679999999999998</v>
      </c>
      <c r="AG646" s="102">
        <f t="shared" si="928"/>
        <v>2.47E-2</v>
      </c>
      <c r="AH646" s="192">
        <f t="shared" si="913"/>
        <v>2.6499999999999999E-2</v>
      </c>
      <c r="AI646" s="145">
        <f t="shared" si="914"/>
        <v>180</v>
      </c>
      <c r="AJ646" s="145">
        <f t="shared" si="915"/>
        <v>60</v>
      </c>
      <c r="AK646" s="144">
        <f t="shared" si="916"/>
        <v>1E-3</v>
      </c>
      <c r="AL646" s="145">
        <f t="shared" si="917"/>
        <v>3</v>
      </c>
      <c r="AM646" s="145">
        <f t="shared" si="918"/>
        <v>1500</v>
      </c>
      <c r="AN646" s="144">
        <f t="shared" si="919"/>
        <v>0.1</v>
      </c>
      <c r="AO646" s="189" t="str">
        <f t="shared" si="920"/>
        <v>NaN</v>
      </c>
    </row>
    <row r="647" spans="1:41" x14ac:dyDescent="0.2">
      <c r="A647" s="3" t="s">
        <v>296</v>
      </c>
      <c r="B647" s="3" t="s">
        <v>296</v>
      </c>
      <c r="C647" s="58">
        <v>2104</v>
      </c>
      <c r="D647" s="102">
        <v>57.1</v>
      </c>
      <c r="E647" s="102">
        <v>12.216699999999999</v>
      </c>
      <c r="F647" s="21">
        <v>8195</v>
      </c>
      <c r="G647" s="44">
        <v>0</v>
      </c>
      <c r="H647" s="185">
        <v>2</v>
      </c>
      <c r="I647" s="121">
        <f t="shared" si="1009"/>
        <v>-1.115</v>
      </c>
      <c r="J647" s="101">
        <f t="shared" si="1009"/>
        <v>1.266</v>
      </c>
      <c r="K647" s="101">
        <f t="shared" si="1009"/>
        <v>3.5000000000000003E-2</v>
      </c>
      <c r="L647" s="102">
        <f t="shared" ref="L647:N657" si="1011">ROUND(L671,4)</f>
        <v>0.28649999999999998</v>
      </c>
      <c r="M647" s="102">
        <f t="shared" si="1011"/>
        <v>3.1E-2</v>
      </c>
      <c r="N647" s="102">
        <f t="shared" si="1011"/>
        <v>3.3000000000000002E-2</v>
      </c>
      <c r="O647" s="21">
        <f t="shared" ref="O647:P647" si="1012">ROUND(O671,0)</f>
        <v>180</v>
      </c>
      <c r="P647" s="21">
        <f t="shared" si="1012"/>
        <v>60</v>
      </c>
      <c r="Q647" s="101">
        <f t="shared" ref="Q647:Q657" si="1013">ROUND(Q671,3)</f>
        <v>1E-3</v>
      </c>
      <c r="R647" s="21">
        <f t="shared" ref="R647:S647" si="1014">ROUND(R671,0)</f>
        <v>3</v>
      </c>
      <c r="S647" s="21">
        <f t="shared" si="1014"/>
        <v>1500</v>
      </c>
      <c r="T647" s="101">
        <f t="shared" ref="T647:T657" si="1015">ROUND(T671,3)</f>
        <v>0.1</v>
      </c>
      <c r="U647" s="103" t="s">
        <v>282</v>
      </c>
      <c r="V647" s="44"/>
      <c r="W647" s="58">
        <f t="shared" si="995"/>
        <v>2104</v>
      </c>
      <c r="X647" s="102">
        <f t="shared" si="996"/>
        <v>57.1</v>
      </c>
      <c r="Y647" s="102">
        <f t="shared" si="997"/>
        <v>12.216699999999999</v>
      </c>
      <c r="Z647" s="21">
        <f t="shared" si="998"/>
        <v>8195</v>
      </c>
      <c r="AA647" s="44">
        <f t="shared" si="999"/>
        <v>0</v>
      </c>
      <c r="AB647" s="21">
        <f t="shared" si="957"/>
        <v>2</v>
      </c>
      <c r="AC647" s="143">
        <f>ROUND(I647+mwreg!$G$72/100,3)</f>
        <v>-1.071</v>
      </c>
      <c r="AD647" s="144">
        <f>ROUND(J647+mwreg!$G$72/100,3)</f>
        <v>1.31</v>
      </c>
      <c r="AE647" s="144">
        <f>ROUND(K647+mwreg!$G$72/100,3)</f>
        <v>7.9000000000000001E-2</v>
      </c>
      <c r="AF647" s="102">
        <f t="shared" si="927"/>
        <v>0.28649999999999998</v>
      </c>
      <c r="AG647" s="102">
        <f t="shared" si="928"/>
        <v>3.1E-2</v>
      </c>
      <c r="AH647" s="192">
        <f t="shared" si="913"/>
        <v>3.3000000000000002E-2</v>
      </c>
      <c r="AI647" s="145">
        <f t="shared" si="914"/>
        <v>180</v>
      </c>
      <c r="AJ647" s="145">
        <f t="shared" si="915"/>
        <v>60</v>
      </c>
      <c r="AK647" s="144">
        <f t="shared" si="916"/>
        <v>1E-3</v>
      </c>
      <c r="AL647" s="145">
        <f t="shared" si="917"/>
        <v>3</v>
      </c>
      <c r="AM647" s="145">
        <f t="shared" si="918"/>
        <v>1500</v>
      </c>
      <c r="AN647" s="144">
        <f t="shared" si="919"/>
        <v>0.1</v>
      </c>
      <c r="AO647" s="189" t="str">
        <f t="shared" si="920"/>
        <v>NaN</v>
      </c>
    </row>
    <row r="648" spans="1:41" x14ac:dyDescent="0.2">
      <c r="A648" s="3" t="s">
        <v>296</v>
      </c>
      <c r="B648" s="3" t="s">
        <v>296</v>
      </c>
      <c r="C648" s="58">
        <v>2104</v>
      </c>
      <c r="D648" s="102">
        <v>57.1</v>
      </c>
      <c r="E648" s="102">
        <v>12.216699999999999</v>
      </c>
      <c r="F648" s="21">
        <v>8195</v>
      </c>
      <c r="G648" s="44">
        <v>0</v>
      </c>
      <c r="H648" s="185">
        <v>3</v>
      </c>
      <c r="I648" s="121">
        <f t="shared" si="1009"/>
        <v>-0.78400000000000003</v>
      </c>
      <c r="J648" s="101">
        <f t="shared" si="1009"/>
        <v>1.2430000000000001</v>
      </c>
      <c r="K648" s="101">
        <f t="shared" si="1009"/>
        <v>-4.8000000000000001E-2</v>
      </c>
      <c r="L648" s="102">
        <f t="shared" si="1011"/>
        <v>0.21490000000000001</v>
      </c>
      <c r="M648" s="102">
        <f t="shared" si="1011"/>
        <v>2.07E-2</v>
      </c>
      <c r="N648" s="102">
        <f t="shared" si="1011"/>
        <v>2.1999999999999999E-2</v>
      </c>
      <c r="O648" s="21">
        <f t="shared" ref="O648:P648" si="1016">ROUND(O672,0)</f>
        <v>180</v>
      </c>
      <c r="P648" s="21">
        <f t="shared" si="1016"/>
        <v>60</v>
      </c>
      <c r="Q648" s="101">
        <f t="shared" si="1013"/>
        <v>1E-3</v>
      </c>
      <c r="R648" s="21">
        <f t="shared" ref="R648:S648" si="1017">ROUND(R672,0)</f>
        <v>3</v>
      </c>
      <c r="S648" s="21">
        <f t="shared" si="1017"/>
        <v>1500</v>
      </c>
      <c r="T648" s="101">
        <f t="shared" si="1015"/>
        <v>0.1</v>
      </c>
      <c r="U648" s="103" t="s">
        <v>282</v>
      </c>
      <c r="V648" s="44"/>
      <c r="W648" s="58">
        <f t="shared" si="995"/>
        <v>2104</v>
      </c>
      <c r="X648" s="102">
        <f t="shared" si="996"/>
        <v>57.1</v>
      </c>
      <c r="Y648" s="102">
        <f t="shared" si="997"/>
        <v>12.216699999999999</v>
      </c>
      <c r="Z648" s="21">
        <f t="shared" si="998"/>
        <v>8195</v>
      </c>
      <c r="AA648" s="44">
        <f t="shared" si="999"/>
        <v>0</v>
      </c>
      <c r="AB648" s="21">
        <f t="shared" si="957"/>
        <v>3</v>
      </c>
      <c r="AC648" s="143">
        <f>ROUND(I648+mwreg!$G$72/100,3)</f>
        <v>-0.74</v>
      </c>
      <c r="AD648" s="144">
        <f>ROUND(J648+mwreg!$G$72/100,3)</f>
        <v>1.2869999999999999</v>
      </c>
      <c r="AE648" s="144">
        <f>ROUND(K648+mwreg!$G$72/100,3)</f>
        <v>-4.0000000000000001E-3</v>
      </c>
      <c r="AF648" s="102">
        <f t="shared" si="927"/>
        <v>0.21490000000000001</v>
      </c>
      <c r="AG648" s="102">
        <f t="shared" si="928"/>
        <v>2.07E-2</v>
      </c>
      <c r="AH648" s="192">
        <f t="shared" si="913"/>
        <v>2.1999999999999999E-2</v>
      </c>
      <c r="AI648" s="145">
        <f t="shared" si="914"/>
        <v>180</v>
      </c>
      <c r="AJ648" s="145">
        <f t="shared" si="915"/>
        <v>60</v>
      </c>
      <c r="AK648" s="144">
        <f t="shared" si="916"/>
        <v>1E-3</v>
      </c>
      <c r="AL648" s="145">
        <f t="shared" si="917"/>
        <v>3</v>
      </c>
      <c r="AM648" s="145">
        <f t="shared" si="918"/>
        <v>1500</v>
      </c>
      <c r="AN648" s="144">
        <f t="shared" si="919"/>
        <v>0.1</v>
      </c>
      <c r="AO648" s="189" t="str">
        <f t="shared" si="920"/>
        <v>NaN</v>
      </c>
    </row>
    <row r="649" spans="1:41" x14ac:dyDescent="0.2">
      <c r="A649" s="3" t="s">
        <v>296</v>
      </c>
      <c r="B649" s="3" t="s">
        <v>296</v>
      </c>
      <c r="C649" s="58">
        <v>2104</v>
      </c>
      <c r="D649" s="102">
        <v>57.1</v>
      </c>
      <c r="E649" s="102">
        <v>12.216699999999999</v>
      </c>
      <c r="F649" s="21">
        <v>8195</v>
      </c>
      <c r="G649" s="44">
        <v>0</v>
      </c>
      <c r="H649" s="185">
        <v>4</v>
      </c>
      <c r="I649" s="121">
        <f t="shared" si="1009"/>
        <v>-0.69</v>
      </c>
      <c r="J649" s="101">
        <f t="shared" si="1009"/>
        <v>0.84399999999999997</v>
      </c>
      <c r="K649" s="101">
        <f t="shared" si="1009"/>
        <v>-8.5999999999999993E-2</v>
      </c>
      <c r="L649" s="102">
        <f t="shared" si="1011"/>
        <v>0.14729999999999999</v>
      </c>
      <c r="M649" s="102">
        <f t="shared" si="1011"/>
        <v>2.92E-2</v>
      </c>
      <c r="N649" s="102">
        <f t="shared" si="1011"/>
        <v>3.0499999999999999E-2</v>
      </c>
      <c r="O649" s="21">
        <f t="shared" ref="O649:P649" si="1018">ROUND(O673,0)</f>
        <v>180</v>
      </c>
      <c r="P649" s="21">
        <f t="shared" si="1018"/>
        <v>60</v>
      </c>
      <c r="Q649" s="101">
        <f t="shared" si="1013"/>
        <v>1E-3</v>
      </c>
      <c r="R649" s="21">
        <f t="shared" ref="R649:S649" si="1019">ROUND(R673,0)</f>
        <v>3</v>
      </c>
      <c r="S649" s="21">
        <f t="shared" si="1019"/>
        <v>1500</v>
      </c>
      <c r="T649" s="101">
        <f t="shared" si="1015"/>
        <v>0.1</v>
      </c>
      <c r="U649" s="103" t="s">
        <v>282</v>
      </c>
      <c r="V649" s="44"/>
      <c r="W649" s="58">
        <f t="shared" si="995"/>
        <v>2104</v>
      </c>
      <c r="X649" s="102">
        <f t="shared" si="996"/>
        <v>57.1</v>
      </c>
      <c r="Y649" s="102">
        <f t="shared" si="997"/>
        <v>12.216699999999999</v>
      </c>
      <c r="Z649" s="21">
        <f t="shared" si="998"/>
        <v>8195</v>
      </c>
      <c r="AA649" s="44">
        <f t="shared" si="999"/>
        <v>0</v>
      </c>
      <c r="AB649" s="21">
        <f t="shared" si="957"/>
        <v>4</v>
      </c>
      <c r="AC649" s="143">
        <f>ROUND(I649+mwreg!$G$72/100,3)</f>
        <v>-0.64600000000000002</v>
      </c>
      <c r="AD649" s="144">
        <f>ROUND(J649+mwreg!$G$72/100,3)</f>
        <v>0.88800000000000001</v>
      </c>
      <c r="AE649" s="144">
        <f>ROUND(K649+mwreg!$G$72/100,3)</f>
        <v>-4.2000000000000003E-2</v>
      </c>
      <c r="AF649" s="102">
        <f t="shared" si="927"/>
        <v>0.14729999999999999</v>
      </c>
      <c r="AG649" s="102">
        <f t="shared" si="928"/>
        <v>2.92E-2</v>
      </c>
      <c r="AH649" s="192">
        <f t="shared" si="913"/>
        <v>3.0499999999999999E-2</v>
      </c>
      <c r="AI649" s="145">
        <f t="shared" si="914"/>
        <v>180</v>
      </c>
      <c r="AJ649" s="145">
        <f t="shared" si="915"/>
        <v>60</v>
      </c>
      <c r="AK649" s="144">
        <f t="shared" si="916"/>
        <v>1E-3</v>
      </c>
      <c r="AL649" s="145">
        <f t="shared" si="917"/>
        <v>3</v>
      </c>
      <c r="AM649" s="145">
        <f t="shared" si="918"/>
        <v>1500</v>
      </c>
      <c r="AN649" s="144">
        <f t="shared" si="919"/>
        <v>0.1</v>
      </c>
      <c r="AO649" s="189" t="str">
        <f t="shared" si="920"/>
        <v>NaN</v>
      </c>
    </row>
    <row r="650" spans="1:41" x14ac:dyDescent="0.2">
      <c r="A650" s="3" t="s">
        <v>296</v>
      </c>
      <c r="B650" s="3" t="s">
        <v>296</v>
      </c>
      <c r="C650" s="58">
        <v>2104</v>
      </c>
      <c r="D650" s="102">
        <v>57.1</v>
      </c>
      <c r="E650" s="102">
        <v>12.216699999999999</v>
      </c>
      <c r="F650" s="21">
        <v>8195</v>
      </c>
      <c r="G650" s="44">
        <v>0</v>
      </c>
      <c r="H650" s="185">
        <v>5</v>
      </c>
      <c r="I650" s="121">
        <f t="shared" si="1009"/>
        <v>-0.54900000000000004</v>
      </c>
      <c r="J650" s="101">
        <f t="shared" si="1009"/>
        <v>0.61199999999999999</v>
      </c>
      <c r="K650" s="101">
        <f t="shared" si="1009"/>
        <v>-5.3999999999999999E-2</v>
      </c>
      <c r="L650" s="102">
        <f t="shared" si="1011"/>
        <v>0.1298</v>
      </c>
      <c r="M650" s="102">
        <f t="shared" si="1011"/>
        <v>2.5700000000000001E-2</v>
      </c>
      <c r="N650" s="102">
        <f t="shared" si="1011"/>
        <v>2.7E-2</v>
      </c>
      <c r="O650" s="21">
        <f t="shared" ref="O650:P650" si="1020">ROUND(O674,0)</f>
        <v>180</v>
      </c>
      <c r="P650" s="21">
        <f t="shared" si="1020"/>
        <v>60</v>
      </c>
      <c r="Q650" s="101">
        <f t="shared" si="1013"/>
        <v>1E-3</v>
      </c>
      <c r="R650" s="21">
        <f t="shared" ref="R650:S650" si="1021">ROUND(R674,0)</f>
        <v>3</v>
      </c>
      <c r="S650" s="21">
        <f t="shared" si="1021"/>
        <v>1500</v>
      </c>
      <c r="T650" s="101">
        <f t="shared" si="1015"/>
        <v>0.1</v>
      </c>
      <c r="U650" s="103" t="s">
        <v>282</v>
      </c>
      <c r="V650" s="44"/>
      <c r="W650" s="58">
        <f t="shared" si="995"/>
        <v>2104</v>
      </c>
      <c r="X650" s="102">
        <f t="shared" si="996"/>
        <v>57.1</v>
      </c>
      <c r="Y650" s="102">
        <f t="shared" si="997"/>
        <v>12.216699999999999</v>
      </c>
      <c r="Z650" s="21">
        <f t="shared" si="998"/>
        <v>8195</v>
      </c>
      <c r="AA650" s="44">
        <f t="shared" si="999"/>
        <v>0</v>
      </c>
      <c r="AB650" s="21">
        <f t="shared" si="957"/>
        <v>5</v>
      </c>
      <c r="AC650" s="143">
        <f>ROUND(I650+mwreg!$G$72/100,3)</f>
        <v>-0.505</v>
      </c>
      <c r="AD650" s="144">
        <f>ROUND(J650+mwreg!$G$72/100,3)</f>
        <v>0.65600000000000003</v>
      </c>
      <c r="AE650" s="144">
        <f>ROUND(K650+mwreg!$G$72/100,3)</f>
        <v>-0.01</v>
      </c>
      <c r="AF650" s="102">
        <f t="shared" si="927"/>
        <v>0.1298</v>
      </c>
      <c r="AG650" s="102">
        <f t="shared" si="928"/>
        <v>2.5700000000000001E-2</v>
      </c>
      <c r="AH650" s="192">
        <f t="shared" si="913"/>
        <v>2.7E-2</v>
      </c>
      <c r="AI650" s="145">
        <f t="shared" si="914"/>
        <v>180</v>
      </c>
      <c r="AJ650" s="145">
        <f t="shared" si="915"/>
        <v>60</v>
      </c>
      <c r="AK650" s="144">
        <f t="shared" si="916"/>
        <v>1E-3</v>
      </c>
      <c r="AL650" s="145">
        <f t="shared" si="917"/>
        <v>3</v>
      </c>
      <c r="AM650" s="145">
        <f t="shared" si="918"/>
        <v>1500</v>
      </c>
      <c r="AN650" s="144">
        <f t="shared" si="919"/>
        <v>0.1</v>
      </c>
      <c r="AO650" s="189" t="str">
        <f t="shared" si="920"/>
        <v>NaN</v>
      </c>
    </row>
    <row r="651" spans="1:41" x14ac:dyDescent="0.2">
      <c r="A651" s="3" t="s">
        <v>296</v>
      </c>
      <c r="B651" s="3" t="s">
        <v>296</v>
      </c>
      <c r="C651" s="58">
        <v>2104</v>
      </c>
      <c r="D651" s="102">
        <v>57.1</v>
      </c>
      <c r="E651" s="102">
        <v>12.216699999999999</v>
      </c>
      <c r="F651" s="21">
        <v>8195</v>
      </c>
      <c r="G651" s="44">
        <v>0</v>
      </c>
      <c r="H651" s="185">
        <v>6</v>
      </c>
      <c r="I651" s="121">
        <f t="shared" si="1009"/>
        <v>-0.43099999999999999</v>
      </c>
      <c r="J651" s="101">
        <f t="shared" si="1009"/>
        <v>0.71099999999999997</v>
      </c>
      <c r="K651" s="101">
        <f t="shared" si="1009"/>
        <v>-8.9999999999999993E-3</v>
      </c>
      <c r="L651" s="102">
        <f t="shared" si="1011"/>
        <v>0.1192</v>
      </c>
      <c r="M651" s="102">
        <f t="shared" si="1011"/>
        <v>5.8700000000000002E-2</v>
      </c>
      <c r="N651" s="102">
        <f t="shared" si="1011"/>
        <v>0.06</v>
      </c>
      <c r="O651" s="21">
        <f t="shared" ref="O651:P651" si="1022">ROUND(O675,0)</f>
        <v>180</v>
      </c>
      <c r="P651" s="21">
        <f t="shared" si="1022"/>
        <v>60</v>
      </c>
      <c r="Q651" s="101">
        <f t="shared" si="1013"/>
        <v>1E-3</v>
      </c>
      <c r="R651" s="21">
        <f t="shared" ref="R651:S651" si="1023">ROUND(R675,0)</f>
        <v>3</v>
      </c>
      <c r="S651" s="21">
        <f t="shared" si="1023"/>
        <v>1500</v>
      </c>
      <c r="T651" s="101">
        <f t="shared" si="1015"/>
        <v>0.1</v>
      </c>
      <c r="U651" s="103" t="s">
        <v>282</v>
      </c>
      <c r="V651" s="44"/>
      <c r="W651" s="58">
        <f t="shared" si="995"/>
        <v>2104</v>
      </c>
      <c r="X651" s="102">
        <f t="shared" si="996"/>
        <v>57.1</v>
      </c>
      <c r="Y651" s="102">
        <f t="shared" si="997"/>
        <v>12.216699999999999</v>
      </c>
      <c r="Z651" s="21">
        <f t="shared" si="998"/>
        <v>8195</v>
      </c>
      <c r="AA651" s="44">
        <f t="shared" si="999"/>
        <v>0</v>
      </c>
      <c r="AB651" s="21">
        <f t="shared" si="957"/>
        <v>6</v>
      </c>
      <c r="AC651" s="143">
        <f>ROUND(I651+mwreg!$G$72/100,3)</f>
        <v>-0.38700000000000001</v>
      </c>
      <c r="AD651" s="144">
        <f>ROUND(J651+mwreg!$G$72/100,3)</f>
        <v>0.755</v>
      </c>
      <c r="AE651" s="144">
        <f>ROUND(K651+mwreg!$G$72/100,3)</f>
        <v>3.5000000000000003E-2</v>
      </c>
      <c r="AF651" s="102">
        <f t="shared" si="927"/>
        <v>0.1192</v>
      </c>
      <c r="AG651" s="102">
        <f t="shared" si="928"/>
        <v>5.8700000000000002E-2</v>
      </c>
      <c r="AH651" s="192">
        <f t="shared" si="913"/>
        <v>0.06</v>
      </c>
      <c r="AI651" s="145">
        <f t="shared" si="914"/>
        <v>180</v>
      </c>
      <c r="AJ651" s="145">
        <f t="shared" si="915"/>
        <v>60</v>
      </c>
      <c r="AK651" s="144">
        <f t="shared" si="916"/>
        <v>1E-3</v>
      </c>
      <c r="AL651" s="145">
        <f t="shared" si="917"/>
        <v>3</v>
      </c>
      <c r="AM651" s="145">
        <f t="shared" si="918"/>
        <v>1500</v>
      </c>
      <c r="AN651" s="144">
        <f t="shared" si="919"/>
        <v>0.1</v>
      </c>
      <c r="AO651" s="189" t="str">
        <f t="shared" si="920"/>
        <v>NaN</v>
      </c>
    </row>
    <row r="652" spans="1:41" x14ac:dyDescent="0.2">
      <c r="A652" s="3" t="s">
        <v>296</v>
      </c>
      <c r="B652" s="3" t="s">
        <v>296</v>
      </c>
      <c r="C652" s="58">
        <v>2104</v>
      </c>
      <c r="D652" s="102">
        <v>57.1</v>
      </c>
      <c r="E652" s="102">
        <v>12.216699999999999</v>
      </c>
      <c r="F652" s="21">
        <v>8195</v>
      </c>
      <c r="G652" s="44">
        <v>0</v>
      </c>
      <c r="H652" s="185">
        <v>7</v>
      </c>
      <c r="I652" s="121">
        <f t="shared" si="1009"/>
        <v>-0.35299999999999998</v>
      </c>
      <c r="J652" s="101">
        <f t="shared" si="1009"/>
        <v>0.76900000000000002</v>
      </c>
      <c r="K652" s="101">
        <f t="shared" si="1009"/>
        <v>6.9000000000000006E-2</v>
      </c>
      <c r="L652" s="102">
        <f t="shared" si="1011"/>
        <v>0.1235</v>
      </c>
      <c r="M652" s="102">
        <f t="shared" si="1011"/>
        <v>8.8999999999999999E-3</v>
      </c>
      <c r="N652" s="102">
        <f t="shared" si="1011"/>
        <v>0.01</v>
      </c>
      <c r="O652" s="21">
        <f t="shared" ref="O652:P652" si="1024">ROUND(O676,0)</f>
        <v>180</v>
      </c>
      <c r="P652" s="21">
        <f t="shared" si="1024"/>
        <v>60</v>
      </c>
      <c r="Q652" s="101">
        <f t="shared" si="1013"/>
        <v>1E-3</v>
      </c>
      <c r="R652" s="21">
        <f t="shared" ref="R652:S652" si="1025">ROUND(R676,0)</f>
        <v>3</v>
      </c>
      <c r="S652" s="21">
        <f t="shared" si="1025"/>
        <v>1500</v>
      </c>
      <c r="T652" s="101">
        <f t="shared" si="1015"/>
        <v>0.1</v>
      </c>
      <c r="U652" s="103" t="s">
        <v>282</v>
      </c>
      <c r="V652" s="44"/>
      <c r="W652" s="58">
        <f t="shared" si="995"/>
        <v>2104</v>
      </c>
      <c r="X652" s="102">
        <f t="shared" si="996"/>
        <v>57.1</v>
      </c>
      <c r="Y652" s="102">
        <f t="shared" si="997"/>
        <v>12.216699999999999</v>
      </c>
      <c r="Z652" s="21">
        <f t="shared" si="998"/>
        <v>8195</v>
      </c>
      <c r="AA652" s="44">
        <f t="shared" si="999"/>
        <v>0</v>
      </c>
      <c r="AB652" s="21">
        <f t="shared" si="957"/>
        <v>7</v>
      </c>
      <c r="AC652" s="143">
        <f>ROUND(I652+mwreg!$G$72/100,3)</f>
        <v>-0.309</v>
      </c>
      <c r="AD652" s="144">
        <f>ROUND(J652+mwreg!$G$72/100,3)</f>
        <v>0.81299999999999994</v>
      </c>
      <c r="AE652" s="144">
        <f>ROUND(K652+mwreg!$G$72/100,3)</f>
        <v>0.113</v>
      </c>
      <c r="AF652" s="102">
        <f t="shared" si="927"/>
        <v>0.1235</v>
      </c>
      <c r="AG652" s="102">
        <f t="shared" si="928"/>
        <v>8.8999999999999999E-3</v>
      </c>
      <c r="AH652" s="192">
        <f t="shared" si="913"/>
        <v>0.01</v>
      </c>
      <c r="AI652" s="145">
        <f t="shared" si="914"/>
        <v>180</v>
      </c>
      <c r="AJ652" s="145">
        <f t="shared" si="915"/>
        <v>60</v>
      </c>
      <c r="AK652" s="144">
        <f t="shared" si="916"/>
        <v>1E-3</v>
      </c>
      <c r="AL652" s="145">
        <f t="shared" si="917"/>
        <v>3</v>
      </c>
      <c r="AM652" s="145">
        <f t="shared" si="918"/>
        <v>1500</v>
      </c>
      <c r="AN652" s="144">
        <f t="shared" si="919"/>
        <v>0.1</v>
      </c>
      <c r="AO652" s="189" t="str">
        <f t="shared" si="920"/>
        <v>NaN</v>
      </c>
    </row>
    <row r="653" spans="1:41" x14ac:dyDescent="0.2">
      <c r="A653" s="3" t="s">
        <v>296</v>
      </c>
      <c r="B653" s="3" t="s">
        <v>296</v>
      </c>
      <c r="C653" s="58">
        <v>2104</v>
      </c>
      <c r="D653" s="102">
        <v>57.1</v>
      </c>
      <c r="E653" s="102">
        <v>12.216699999999999</v>
      </c>
      <c r="F653" s="21">
        <v>8195</v>
      </c>
      <c r="G653" s="44">
        <v>0</v>
      </c>
      <c r="H653" s="185">
        <v>8</v>
      </c>
      <c r="I653" s="121">
        <f t="shared" si="1009"/>
        <v>-0.32900000000000001</v>
      </c>
      <c r="J653" s="101">
        <f t="shared" si="1009"/>
        <v>0.95399999999999996</v>
      </c>
      <c r="K653" s="101">
        <f t="shared" si="1009"/>
        <v>7.0000000000000007E-2</v>
      </c>
      <c r="L653" s="102">
        <f t="shared" si="1011"/>
        <v>0.1216</v>
      </c>
      <c r="M653" s="102">
        <f t="shared" si="1011"/>
        <v>2.07E-2</v>
      </c>
      <c r="N653" s="102">
        <f t="shared" si="1011"/>
        <v>2.1999999999999999E-2</v>
      </c>
      <c r="O653" s="21">
        <f t="shared" ref="O653:P653" si="1026">ROUND(O677,0)</f>
        <v>180</v>
      </c>
      <c r="P653" s="21">
        <f t="shared" si="1026"/>
        <v>60</v>
      </c>
      <c r="Q653" s="101">
        <f t="shared" si="1013"/>
        <v>1E-3</v>
      </c>
      <c r="R653" s="21">
        <f t="shared" ref="R653:S653" si="1027">ROUND(R677,0)</f>
        <v>3</v>
      </c>
      <c r="S653" s="21">
        <f t="shared" si="1027"/>
        <v>1500</v>
      </c>
      <c r="T653" s="101">
        <f t="shared" si="1015"/>
        <v>0.1</v>
      </c>
      <c r="U653" s="103" t="s">
        <v>282</v>
      </c>
      <c r="V653" s="44"/>
      <c r="W653" s="58">
        <f t="shared" si="995"/>
        <v>2104</v>
      </c>
      <c r="X653" s="102">
        <f t="shared" si="996"/>
        <v>57.1</v>
      </c>
      <c r="Y653" s="102">
        <f t="shared" si="997"/>
        <v>12.216699999999999</v>
      </c>
      <c r="Z653" s="21">
        <f t="shared" si="998"/>
        <v>8195</v>
      </c>
      <c r="AA653" s="44">
        <f t="shared" si="999"/>
        <v>0</v>
      </c>
      <c r="AB653" s="21">
        <f t="shared" si="957"/>
        <v>8</v>
      </c>
      <c r="AC653" s="143">
        <f>ROUND(I653+mwreg!$G$72/100,3)</f>
        <v>-0.28499999999999998</v>
      </c>
      <c r="AD653" s="144">
        <f>ROUND(J653+mwreg!$G$72/100,3)</f>
        <v>0.998</v>
      </c>
      <c r="AE653" s="144">
        <f>ROUND(K653+mwreg!$G$72/100,3)</f>
        <v>0.114</v>
      </c>
      <c r="AF653" s="102">
        <f t="shared" si="927"/>
        <v>0.1216</v>
      </c>
      <c r="AG653" s="102">
        <f t="shared" si="928"/>
        <v>2.07E-2</v>
      </c>
      <c r="AH653" s="192">
        <f t="shared" si="913"/>
        <v>2.1999999999999999E-2</v>
      </c>
      <c r="AI653" s="145">
        <f t="shared" si="914"/>
        <v>180</v>
      </c>
      <c r="AJ653" s="145">
        <f t="shared" si="915"/>
        <v>60</v>
      </c>
      <c r="AK653" s="144">
        <f t="shared" si="916"/>
        <v>1E-3</v>
      </c>
      <c r="AL653" s="145">
        <f t="shared" si="917"/>
        <v>3</v>
      </c>
      <c r="AM653" s="145">
        <f t="shared" si="918"/>
        <v>1500</v>
      </c>
      <c r="AN653" s="144">
        <f t="shared" si="919"/>
        <v>0.1</v>
      </c>
      <c r="AO653" s="189" t="str">
        <f t="shared" si="920"/>
        <v>NaN</v>
      </c>
    </row>
    <row r="654" spans="1:41" x14ac:dyDescent="0.2">
      <c r="A654" s="3" t="s">
        <v>296</v>
      </c>
      <c r="B654" s="3" t="s">
        <v>296</v>
      </c>
      <c r="C654" s="58">
        <v>2104</v>
      </c>
      <c r="D654" s="102">
        <v>57.1</v>
      </c>
      <c r="E654" s="102">
        <v>12.216699999999999</v>
      </c>
      <c r="F654" s="21">
        <v>8195</v>
      </c>
      <c r="G654" s="44">
        <v>0</v>
      </c>
      <c r="H654" s="185">
        <v>9</v>
      </c>
      <c r="I654" s="121">
        <f t="shared" si="1009"/>
        <v>-0.45400000000000001</v>
      </c>
      <c r="J654" s="101">
        <f t="shared" si="1009"/>
        <v>1.17</v>
      </c>
      <c r="K654" s="101">
        <f t="shared" si="1009"/>
        <v>9.4E-2</v>
      </c>
      <c r="L654" s="102">
        <f t="shared" si="1011"/>
        <v>0.16700000000000001</v>
      </c>
      <c r="M654" s="102">
        <f t="shared" si="1011"/>
        <v>2.7799999999999998E-2</v>
      </c>
      <c r="N654" s="102">
        <f t="shared" si="1011"/>
        <v>2.9000000000000001E-2</v>
      </c>
      <c r="O654" s="21">
        <f t="shared" ref="O654:P654" si="1028">ROUND(O678,0)</f>
        <v>180</v>
      </c>
      <c r="P654" s="21">
        <f t="shared" si="1028"/>
        <v>60</v>
      </c>
      <c r="Q654" s="101">
        <f t="shared" si="1013"/>
        <v>1E-3</v>
      </c>
      <c r="R654" s="21">
        <f t="shared" ref="R654:S654" si="1029">ROUND(R678,0)</f>
        <v>3</v>
      </c>
      <c r="S654" s="21">
        <f t="shared" si="1029"/>
        <v>1500</v>
      </c>
      <c r="T654" s="101">
        <f t="shared" si="1015"/>
        <v>0.1</v>
      </c>
      <c r="U654" s="103" t="s">
        <v>282</v>
      </c>
      <c r="V654" s="44"/>
      <c r="W654" s="58">
        <f t="shared" si="995"/>
        <v>2104</v>
      </c>
      <c r="X654" s="102">
        <f t="shared" si="996"/>
        <v>57.1</v>
      </c>
      <c r="Y654" s="102">
        <f t="shared" si="997"/>
        <v>12.216699999999999</v>
      </c>
      <c r="Z654" s="21">
        <f t="shared" si="998"/>
        <v>8195</v>
      </c>
      <c r="AA654" s="44">
        <f t="shared" si="999"/>
        <v>0</v>
      </c>
      <c r="AB654" s="21">
        <f t="shared" si="957"/>
        <v>9</v>
      </c>
      <c r="AC654" s="143">
        <f>ROUND(I654+mwreg!$G$72/100,3)</f>
        <v>-0.41</v>
      </c>
      <c r="AD654" s="144">
        <f>ROUND(J654+mwreg!$G$72/100,3)</f>
        <v>1.214</v>
      </c>
      <c r="AE654" s="144">
        <f>ROUND(K654+mwreg!$G$72/100,3)</f>
        <v>0.13800000000000001</v>
      </c>
      <c r="AF654" s="102">
        <f t="shared" si="927"/>
        <v>0.16700000000000001</v>
      </c>
      <c r="AG654" s="102">
        <f t="shared" si="928"/>
        <v>2.7799999999999998E-2</v>
      </c>
      <c r="AH654" s="192">
        <f t="shared" ref="AH654:AH717" si="1030">N654</f>
        <v>2.9000000000000001E-2</v>
      </c>
      <c r="AI654" s="145">
        <f t="shared" ref="AI654:AI717" si="1031">O654</f>
        <v>180</v>
      </c>
      <c r="AJ654" s="145">
        <f t="shared" ref="AJ654:AJ717" si="1032">P654</f>
        <v>60</v>
      </c>
      <c r="AK654" s="144">
        <f t="shared" ref="AK654:AK717" si="1033">Q654</f>
        <v>1E-3</v>
      </c>
      <c r="AL654" s="145">
        <f t="shared" ref="AL654:AL717" si="1034">R654</f>
        <v>3</v>
      </c>
      <c r="AM654" s="145">
        <f t="shared" ref="AM654:AM717" si="1035">S654</f>
        <v>1500</v>
      </c>
      <c r="AN654" s="144">
        <f t="shared" ref="AN654:AN717" si="1036">T654</f>
        <v>0.1</v>
      </c>
      <c r="AO654" s="189" t="str">
        <f t="shared" si="920"/>
        <v>NaN</v>
      </c>
    </row>
    <row r="655" spans="1:41" x14ac:dyDescent="0.2">
      <c r="A655" s="3" t="s">
        <v>296</v>
      </c>
      <c r="B655" s="3" t="s">
        <v>296</v>
      </c>
      <c r="C655" s="58">
        <v>2104</v>
      </c>
      <c r="D655" s="102">
        <v>57.1</v>
      </c>
      <c r="E655" s="102">
        <v>12.216699999999999</v>
      </c>
      <c r="F655" s="21">
        <v>8195</v>
      </c>
      <c r="G655" s="44">
        <v>0</v>
      </c>
      <c r="H655" s="185">
        <v>10</v>
      </c>
      <c r="I655" s="121">
        <f t="shared" si="1009"/>
        <v>-0.71099999999999997</v>
      </c>
      <c r="J655" s="101">
        <f t="shared" si="1009"/>
        <v>1.2989999999999999</v>
      </c>
      <c r="K655" s="101">
        <f t="shared" si="1009"/>
        <v>0.08</v>
      </c>
      <c r="L655" s="102">
        <f t="shared" si="1011"/>
        <v>0.19189999999999999</v>
      </c>
      <c r="M655" s="102">
        <f t="shared" si="1011"/>
        <v>2.1700000000000001E-2</v>
      </c>
      <c r="N655" s="102">
        <f t="shared" si="1011"/>
        <v>2.3E-2</v>
      </c>
      <c r="O655" s="21">
        <f t="shared" ref="O655:P655" si="1037">ROUND(O679,0)</f>
        <v>180</v>
      </c>
      <c r="P655" s="21">
        <f t="shared" si="1037"/>
        <v>60</v>
      </c>
      <c r="Q655" s="101">
        <f t="shared" si="1013"/>
        <v>1E-3</v>
      </c>
      <c r="R655" s="21">
        <f t="shared" ref="R655:S655" si="1038">ROUND(R679,0)</f>
        <v>3</v>
      </c>
      <c r="S655" s="21">
        <f t="shared" si="1038"/>
        <v>1500</v>
      </c>
      <c r="T655" s="101">
        <f t="shared" si="1015"/>
        <v>0.1</v>
      </c>
      <c r="U655" s="103" t="s">
        <v>282</v>
      </c>
      <c r="V655" s="44"/>
      <c r="W655" s="58">
        <f t="shared" si="995"/>
        <v>2104</v>
      </c>
      <c r="X655" s="102">
        <f t="shared" si="996"/>
        <v>57.1</v>
      </c>
      <c r="Y655" s="102">
        <f t="shared" si="997"/>
        <v>12.216699999999999</v>
      </c>
      <c r="Z655" s="21">
        <f t="shared" si="998"/>
        <v>8195</v>
      </c>
      <c r="AA655" s="44">
        <f t="shared" si="999"/>
        <v>0</v>
      </c>
      <c r="AB655" s="21">
        <f t="shared" si="957"/>
        <v>10</v>
      </c>
      <c r="AC655" s="143">
        <f>ROUND(I655+mwreg!$G$72/100,3)</f>
        <v>-0.66700000000000004</v>
      </c>
      <c r="AD655" s="144">
        <f>ROUND(J655+mwreg!$G$72/100,3)</f>
        <v>1.343</v>
      </c>
      <c r="AE655" s="144">
        <f>ROUND(K655+mwreg!$G$72/100,3)</f>
        <v>0.124</v>
      </c>
      <c r="AF655" s="102">
        <f t="shared" si="927"/>
        <v>0.19189999999999999</v>
      </c>
      <c r="AG655" s="102">
        <f t="shared" si="928"/>
        <v>2.1700000000000001E-2</v>
      </c>
      <c r="AH655" s="192">
        <f t="shared" si="1030"/>
        <v>2.3E-2</v>
      </c>
      <c r="AI655" s="145">
        <f t="shared" si="1031"/>
        <v>180</v>
      </c>
      <c r="AJ655" s="145">
        <f t="shared" si="1032"/>
        <v>60</v>
      </c>
      <c r="AK655" s="144">
        <f t="shared" si="1033"/>
        <v>1E-3</v>
      </c>
      <c r="AL655" s="145">
        <f t="shared" si="1034"/>
        <v>3</v>
      </c>
      <c r="AM655" s="145">
        <f t="shared" si="1035"/>
        <v>1500</v>
      </c>
      <c r="AN655" s="144">
        <f t="shared" si="1036"/>
        <v>0.1</v>
      </c>
      <c r="AO655" s="189" t="str">
        <f t="shared" si="920"/>
        <v>NaN</v>
      </c>
    </row>
    <row r="656" spans="1:41" x14ac:dyDescent="0.2">
      <c r="A656" s="3" t="s">
        <v>296</v>
      </c>
      <c r="B656" s="3" t="s">
        <v>296</v>
      </c>
      <c r="C656" s="58">
        <v>2104</v>
      </c>
      <c r="D656" s="102">
        <v>57.1</v>
      </c>
      <c r="E656" s="102">
        <v>12.216699999999999</v>
      </c>
      <c r="F656" s="21">
        <v>8195</v>
      </c>
      <c r="G656" s="44">
        <v>0</v>
      </c>
      <c r="H656" s="185">
        <v>11</v>
      </c>
      <c r="I656" s="121">
        <f t="shared" si="1009"/>
        <v>-0.87</v>
      </c>
      <c r="J656" s="101">
        <f t="shared" si="1009"/>
        <v>1.341</v>
      </c>
      <c r="K656" s="101">
        <f t="shared" si="1009"/>
        <v>0.08</v>
      </c>
      <c r="L656" s="102">
        <f t="shared" si="1011"/>
        <v>0.21609999999999999</v>
      </c>
      <c r="M656" s="102">
        <f t="shared" si="1011"/>
        <v>2.1399999999999999E-2</v>
      </c>
      <c r="N656" s="102">
        <f t="shared" si="1011"/>
        <v>2.29E-2</v>
      </c>
      <c r="O656" s="21">
        <f t="shared" ref="O656:P656" si="1039">ROUND(O680,0)</f>
        <v>180</v>
      </c>
      <c r="P656" s="21">
        <f t="shared" si="1039"/>
        <v>60</v>
      </c>
      <c r="Q656" s="101">
        <f t="shared" si="1013"/>
        <v>1E-3</v>
      </c>
      <c r="R656" s="21">
        <f t="shared" ref="R656:S656" si="1040">ROUND(R680,0)</f>
        <v>3</v>
      </c>
      <c r="S656" s="21">
        <f t="shared" si="1040"/>
        <v>1500</v>
      </c>
      <c r="T656" s="101">
        <f t="shared" si="1015"/>
        <v>0.1</v>
      </c>
      <c r="U656" s="103" t="s">
        <v>282</v>
      </c>
      <c r="V656" s="44"/>
      <c r="W656" s="58">
        <f t="shared" si="995"/>
        <v>2104</v>
      </c>
      <c r="X656" s="102">
        <f t="shared" si="996"/>
        <v>57.1</v>
      </c>
      <c r="Y656" s="102">
        <f t="shared" si="997"/>
        <v>12.216699999999999</v>
      </c>
      <c r="Z656" s="21">
        <f t="shared" si="998"/>
        <v>8195</v>
      </c>
      <c r="AA656" s="44">
        <f t="shared" si="999"/>
        <v>0</v>
      </c>
      <c r="AB656" s="21">
        <f t="shared" si="957"/>
        <v>11</v>
      </c>
      <c r="AC656" s="143">
        <f>ROUND(I656+mwreg!$G$72/100,3)</f>
        <v>-0.82599999999999996</v>
      </c>
      <c r="AD656" s="144">
        <f>ROUND(J656+mwreg!$G$72/100,3)</f>
        <v>1.385</v>
      </c>
      <c r="AE656" s="144">
        <f>ROUND(K656+mwreg!$G$72/100,3)</f>
        <v>0.124</v>
      </c>
      <c r="AF656" s="102">
        <f t="shared" si="927"/>
        <v>0.21609999999999999</v>
      </c>
      <c r="AG656" s="102">
        <f t="shared" si="928"/>
        <v>2.1399999999999999E-2</v>
      </c>
      <c r="AH656" s="192">
        <f t="shared" si="1030"/>
        <v>2.29E-2</v>
      </c>
      <c r="AI656" s="145">
        <f t="shared" si="1031"/>
        <v>180</v>
      </c>
      <c r="AJ656" s="145">
        <f t="shared" si="1032"/>
        <v>60</v>
      </c>
      <c r="AK656" s="144">
        <f t="shared" si="1033"/>
        <v>1E-3</v>
      </c>
      <c r="AL656" s="145">
        <f t="shared" si="1034"/>
        <v>3</v>
      </c>
      <c r="AM656" s="145">
        <f t="shared" si="1035"/>
        <v>1500</v>
      </c>
      <c r="AN656" s="144">
        <f t="shared" si="1036"/>
        <v>0.1</v>
      </c>
      <c r="AO656" s="189" t="str">
        <f t="shared" si="920"/>
        <v>NaN</v>
      </c>
    </row>
    <row r="657" spans="1:41" x14ac:dyDescent="0.2">
      <c r="A657" s="3" t="s">
        <v>296</v>
      </c>
      <c r="B657" s="3" t="s">
        <v>296</v>
      </c>
      <c r="C657" s="58">
        <v>2104</v>
      </c>
      <c r="D657" s="102">
        <v>57.1</v>
      </c>
      <c r="E657" s="102">
        <v>12.216699999999999</v>
      </c>
      <c r="F657" s="21">
        <v>8195</v>
      </c>
      <c r="G657" s="44">
        <v>0</v>
      </c>
      <c r="H657" s="185">
        <v>12</v>
      </c>
      <c r="I657" s="121">
        <f t="shared" si="1009"/>
        <v>-0.89</v>
      </c>
      <c r="J657" s="101">
        <f t="shared" si="1009"/>
        <v>1.4930000000000001</v>
      </c>
      <c r="K657" s="101">
        <f t="shared" si="1009"/>
        <v>0.109</v>
      </c>
      <c r="L657" s="102">
        <f t="shared" si="1011"/>
        <v>0.2447</v>
      </c>
      <c r="M657" s="102">
        <f t="shared" si="1011"/>
        <v>2.7300000000000001E-2</v>
      </c>
      <c r="N657" s="102">
        <f t="shared" si="1011"/>
        <v>2.9000000000000001E-2</v>
      </c>
      <c r="O657" s="21">
        <f t="shared" ref="O657:P657" si="1041">ROUND(O681,0)</f>
        <v>180</v>
      </c>
      <c r="P657" s="21">
        <f t="shared" si="1041"/>
        <v>60</v>
      </c>
      <c r="Q657" s="101">
        <f t="shared" si="1013"/>
        <v>1E-3</v>
      </c>
      <c r="R657" s="21">
        <f t="shared" ref="R657:S657" si="1042">ROUND(R681,0)</f>
        <v>3</v>
      </c>
      <c r="S657" s="21">
        <f t="shared" si="1042"/>
        <v>1500</v>
      </c>
      <c r="T657" s="101">
        <f t="shared" si="1015"/>
        <v>0.1</v>
      </c>
      <c r="U657" s="103" t="s">
        <v>282</v>
      </c>
      <c r="V657" s="44"/>
      <c r="W657" s="58">
        <f t="shared" si="995"/>
        <v>2104</v>
      </c>
      <c r="X657" s="102">
        <f t="shared" si="996"/>
        <v>57.1</v>
      </c>
      <c r="Y657" s="102">
        <f t="shared" si="997"/>
        <v>12.216699999999999</v>
      </c>
      <c r="Z657" s="21">
        <f t="shared" si="998"/>
        <v>8195</v>
      </c>
      <c r="AA657" s="44">
        <f t="shared" si="999"/>
        <v>0</v>
      </c>
      <c r="AB657" s="21">
        <f t="shared" si="957"/>
        <v>12</v>
      </c>
      <c r="AC657" s="143">
        <f>ROUND(I657+mwreg!$G$72/100,3)</f>
        <v>-0.84599999999999997</v>
      </c>
      <c r="AD657" s="144">
        <f>ROUND(J657+mwreg!$G$72/100,3)</f>
        <v>1.5369999999999999</v>
      </c>
      <c r="AE657" s="144">
        <f>ROUND(K657+mwreg!$G$72/100,3)</f>
        <v>0.153</v>
      </c>
      <c r="AF657" s="102">
        <f t="shared" si="927"/>
        <v>0.2447</v>
      </c>
      <c r="AG657" s="102">
        <f t="shared" si="928"/>
        <v>2.7300000000000001E-2</v>
      </c>
      <c r="AH657" s="192">
        <f t="shared" si="1030"/>
        <v>2.9000000000000001E-2</v>
      </c>
      <c r="AI657" s="145">
        <f t="shared" si="1031"/>
        <v>180</v>
      </c>
      <c r="AJ657" s="145">
        <f t="shared" si="1032"/>
        <v>60</v>
      </c>
      <c r="AK657" s="144">
        <f t="shared" si="1033"/>
        <v>1E-3</v>
      </c>
      <c r="AL657" s="145">
        <f t="shared" si="1034"/>
        <v>3</v>
      </c>
      <c r="AM657" s="145">
        <f t="shared" si="1035"/>
        <v>1500</v>
      </c>
      <c r="AN657" s="144">
        <f t="shared" si="1036"/>
        <v>0.1</v>
      </c>
      <c r="AO657" s="189" t="str">
        <f t="shared" si="920"/>
        <v>NaN</v>
      </c>
    </row>
    <row r="658" spans="1:41" x14ac:dyDescent="0.2">
      <c r="A658" s="3" t="str">
        <f>stat_uppg!A63</f>
        <v>81/35133</v>
      </c>
      <c r="B658" s="3" t="str">
        <f>stat_uppg!B63</f>
        <v>VARBERG2 (SJÖV)</v>
      </c>
      <c r="C658" s="58">
        <v>35133</v>
      </c>
      <c r="D658" s="102">
        <v>57.1111</v>
      </c>
      <c r="E658" s="102">
        <v>12.2386</v>
      </c>
      <c r="F658" s="21">
        <v>8195</v>
      </c>
      <c r="G658" s="44">
        <v>0</v>
      </c>
      <c r="H658" s="185">
        <v>1</v>
      </c>
      <c r="I658" s="121">
        <f t="shared" ref="I658:K669" si="1043">ROUND(0.12*I598+0.88*I670,3)</f>
        <v>-1.079</v>
      </c>
      <c r="J658" s="101">
        <f t="shared" si="1043"/>
        <v>1.633</v>
      </c>
      <c r="K658" s="101">
        <f t="shared" si="1043"/>
        <v>0.08</v>
      </c>
      <c r="L658" s="102">
        <f>ROUND(0.12*L598+0.88*L670,4)</f>
        <v>0.26729999999999998</v>
      </c>
      <c r="M658" s="102">
        <f t="shared" ref="M658:N658" si="1044">ROUND(0.12*M598+0.88*M670,4)</f>
        <v>3.2599999999999997E-2</v>
      </c>
      <c r="N658" s="102">
        <f t="shared" si="1044"/>
        <v>3.5099999999999999E-2</v>
      </c>
      <c r="O658" s="21">
        <f>ROUND(0.12*O598+0.88*O670,0)</f>
        <v>180</v>
      </c>
      <c r="P658" s="21">
        <f>ROUND(0.12*P598+0.88*P670,0)</f>
        <v>60</v>
      </c>
      <c r="Q658" s="101">
        <f>ROUND(0.12*Q598+0.88*Q670,3)</f>
        <v>1E-3</v>
      </c>
      <c r="R658" s="21">
        <f>ROUND(0.12*R598+0.88*R670,0)</f>
        <v>3</v>
      </c>
      <c r="S658" s="21">
        <f>ROUND(0.12*S598+0.88*S670,0)</f>
        <v>1500</v>
      </c>
      <c r="T658" s="101">
        <f>ROUND(0.12*T598+0.88*T670,3)</f>
        <v>0.1</v>
      </c>
      <c r="U658" s="103" t="s">
        <v>282</v>
      </c>
      <c r="V658" s="44"/>
      <c r="W658" s="58">
        <f t="shared" si="995"/>
        <v>35133</v>
      </c>
      <c r="X658" s="102">
        <f t="shared" si="996"/>
        <v>57.1111</v>
      </c>
      <c r="Y658" s="102">
        <f t="shared" si="997"/>
        <v>12.2386</v>
      </c>
      <c r="Z658" s="21">
        <f t="shared" si="998"/>
        <v>8195</v>
      </c>
      <c r="AA658" s="44">
        <f t="shared" si="999"/>
        <v>0</v>
      </c>
      <c r="AB658" s="21">
        <f t="shared" si="957"/>
        <v>1</v>
      </c>
      <c r="AC658" s="143">
        <f>ROUND(I658+mwreg!$G$73/100,3)</f>
        <v>-1.0349999999999999</v>
      </c>
      <c r="AD658" s="144">
        <f>ROUND(J658+mwreg!$G$73/100,3)</f>
        <v>1.677</v>
      </c>
      <c r="AE658" s="144">
        <f>ROUND(K658+mwreg!$G$73/100,3)</f>
        <v>0.124</v>
      </c>
      <c r="AF658" s="102">
        <f t="shared" si="927"/>
        <v>0.26729999999999998</v>
      </c>
      <c r="AG658" s="102">
        <f t="shared" si="928"/>
        <v>3.2599999999999997E-2</v>
      </c>
      <c r="AH658" s="192">
        <f t="shared" si="1030"/>
        <v>3.5099999999999999E-2</v>
      </c>
      <c r="AI658" s="145">
        <f t="shared" si="1031"/>
        <v>180</v>
      </c>
      <c r="AJ658" s="145">
        <f t="shared" si="1032"/>
        <v>60</v>
      </c>
      <c r="AK658" s="144">
        <f t="shared" si="1033"/>
        <v>1E-3</v>
      </c>
      <c r="AL658" s="145">
        <f t="shared" si="1034"/>
        <v>3</v>
      </c>
      <c r="AM658" s="145">
        <f t="shared" si="1035"/>
        <v>1500</v>
      </c>
      <c r="AN658" s="144">
        <f t="shared" si="1036"/>
        <v>0.1</v>
      </c>
      <c r="AO658" s="189" t="str">
        <f t="shared" si="920"/>
        <v>NaN</v>
      </c>
    </row>
    <row r="659" spans="1:41" x14ac:dyDescent="0.2">
      <c r="A659" s="3" t="s">
        <v>296</v>
      </c>
      <c r="B659" s="3" t="s">
        <v>296</v>
      </c>
      <c r="C659" s="58">
        <v>35133</v>
      </c>
      <c r="D659" s="102">
        <v>57.1111</v>
      </c>
      <c r="E659" s="102">
        <v>12.2386</v>
      </c>
      <c r="F659" s="21">
        <v>8195</v>
      </c>
      <c r="G659" s="44">
        <v>0</v>
      </c>
      <c r="H659" s="185">
        <v>2</v>
      </c>
      <c r="I659" s="121">
        <f t="shared" si="1043"/>
        <v>-1.1160000000000001</v>
      </c>
      <c r="J659" s="101">
        <f t="shared" si="1043"/>
        <v>1.2669999999999999</v>
      </c>
      <c r="K659" s="101">
        <f t="shared" si="1043"/>
        <v>3.5000000000000003E-2</v>
      </c>
      <c r="L659" s="102">
        <f t="shared" ref="L659:N669" si="1045">ROUND(0.12*L599+0.88*L671,4)</f>
        <v>0.28270000000000001</v>
      </c>
      <c r="M659" s="102">
        <f t="shared" si="1045"/>
        <v>5.2900000000000003E-2</v>
      </c>
      <c r="N659" s="102">
        <f t="shared" si="1045"/>
        <v>5.5399999999999998E-2</v>
      </c>
      <c r="O659" s="21">
        <f t="shared" ref="O659:P659" si="1046">ROUND(0.12*O599+0.88*O671,0)</f>
        <v>180</v>
      </c>
      <c r="P659" s="21">
        <f t="shared" si="1046"/>
        <v>60</v>
      </c>
      <c r="Q659" s="101">
        <f t="shared" ref="Q659:Q669" si="1047">ROUND(0.12*Q599+0.88*Q671,3)</f>
        <v>1E-3</v>
      </c>
      <c r="R659" s="21">
        <f t="shared" ref="R659:S659" si="1048">ROUND(0.12*R599+0.88*R671,0)</f>
        <v>3</v>
      </c>
      <c r="S659" s="21">
        <f t="shared" si="1048"/>
        <v>1500</v>
      </c>
      <c r="T659" s="101">
        <f t="shared" ref="T659:T669" si="1049">ROUND(0.12*T599+0.88*T671,3)</f>
        <v>0.1</v>
      </c>
      <c r="U659" s="103" t="s">
        <v>282</v>
      </c>
      <c r="V659" s="44"/>
      <c r="W659" s="58">
        <f t="shared" si="995"/>
        <v>35133</v>
      </c>
      <c r="X659" s="102">
        <f t="shared" si="996"/>
        <v>57.1111</v>
      </c>
      <c r="Y659" s="102">
        <f t="shared" si="997"/>
        <v>12.2386</v>
      </c>
      <c r="Z659" s="21">
        <f t="shared" si="998"/>
        <v>8195</v>
      </c>
      <c r="AA659" s="44">
        <f t="shared" si="999"/>
        <v>0</v>
      </c>
      <c r="AB659" s="21">
        <f t="shared" si="957"/>
        <v>2</v>
      </c>
      <c r="AC659" s="143">
        <f>ROUND(I659+mwreg!$G$73/100,3)</f>
        <v>-1.0720000000000001</v>
      </c>
      <c r="AD659" s="144">
        <f>ROUND(J659+mwreg!$G$73/100,3)</f>
        <v>1.3109999999999999</v>
      </c>
      <c r="AE659" s="144">
        <f>ROUND(K659+mwreg!$G$73/100,3)</f>
        <v>7.9000000000000001E-2</v>
      </c>
      <c r="AF659" s="102">
        <f t="shared" si="927"/>
        <v>0.28270000000000001</v>
      </c>
      <c r="AG659" s="102">
        <f t="shared" si="928"/>
        <v>5.2900000000000003E-2</v>
      </c>
      <c r="AH659" s="192">
        <f t="shared" si="1030"/>
        <v>5.5399999999999998E-2</v>
      </c>
      <c r="AI659" s="145">
        <f t="shared" si="1031"/>
        <v>180</v>
      </c>
      <c r="AJ659" s="145">
        <f t="shared" si="1032"/>
        <v>60</v>
      </c>
      <c r="AK659" s="144">
        <f t="shared" si="1033"/>
        <v>1E-3</v>
      </c>
      <c r="AL659" s="145">
        <f t="shared" si="1034"/>
        <v>3</v>
      </c>
      <c r="AM659" s="145">
        <f t="shared" si="1035"/>
        <v>1500</v>
      </c>
      <c r="AN659" s="144">
        <f t="shared" si="1036"/>
        <v>0.1</v>
      </c>
      <c r="AO659" s="189" t="str">
        <f t="shared" si="920"/>
        <v>NaN</v>
      </c>
    </row>
    <row r="660" spans="1:41" x14ac:dyDescent="0.2">
      <c r="A660" s="3" t="s">
        <v>296</v>
      </c>
      <c r="B660" s="3" t="s">
        <v>296</v>
      </c>
      <c r="C660" s="58">
        <v>35133</v>
      </c>
      <c r="D660" s="102">
        <v>57.1111</v>
      </c>
      <c r="E660" s="102">
        <v>12.2386</v>
      </c>
      <c r="F660" s="21">
        <v>8195</v>
      </c>
      <c r="G660" s="44">
        <v>0</v>
      </c>
      <c r="H660" s="185">
        <v>3</v>
      </c>
      <c r="I660" s="121">
        <f t="shared" si="1043"/>
        <v>-0.78300000000000003</v>
      </c>
      <c r="J660" s="101">
        <f t="shared" si="1043"/>
        <v>1.242</v>
      </c>
      <c r="K660" s="101">
        <f t="shared" si="1043"/>
        <v>-4.8000000000000001E-2</v>
      </c>
      <c r="L660" s="102">
        <f t="shared" si="1045"/>
        <v>0.2157</v>
      </c>
      <c r="M660" s="102">
        <f t="shared" si="1045"/>
        <v>3.1899999999999998E-2</v>
      </c>
      <c r="N660" s="102">
        <f t="shared" si="1045"/>
        <v>3.3799999999999997E-2</v>
      </c>
      <c r="O660" s="21">
        <f t="shared" ref="O660:P660" si="1050">ROUND(0.12*O600+0.88*O672,0)</f>
        <v>180</v>
      </c>
      <c r="P660" s="21">
        <f t="shared" si="1050"/>
        <v>60</v>
      </c>
      <c r="Q660" s="101">
        <f t="shared" si="1047"/>
        <v>1E-3</v>
      </c>
      <c r="R660" s="21">
        <f t="shared" ref="R660:S660" si="1051">ROUND(0.12*R600+0.88*R672,0)</f>
        <v>3</v>
      </c>
      <c r="S660" s="21">
        <f t="shared" si="1051"/>
        <v>1500</v>
      </c>
      <c r="T660" s="101">
        <f t="shared" si="1049"/>
        <v>0.1</v>
      </c>
      <c r="U660" s="103" t="s">
        <v>282</v>
      </c>
      <c r="V660" s="44"/>
      <c r="W660" s="58">
        <f t="shared" si="995"/>
        <v>35133</v>
      </c>
      <c r="X660" s="102">
        <f t="shared" si="996"/>
        <v>57.1111</v>
      </c>
      <c r="Y660" s="102">
        <f t="shared" si="997"/>
        <v>12.2386</v>
      </c>
      <c r="Z660" s="21">
        <f t="shared" si="998"/>
        <v>8195</v>
      </c>
      <c r="AA660" s="44">
        <f t="shared" si="999"/>
        <v>0</v>
      </c>
      <c r="AB660" s="21">
        <f t="shared" si="957"/>
        <v>3</v>
      </c>
      <c r="AC660" s="143">
        <f>ROUND(I660+mwreg!$G$73/100,3)</f>
        <v>-0.73899999999999999</v>
      </c>
      <c r="AD660" s="144">
        <f>ROUND(J660+mwreg!$G$73/100,3)</f>
        <v>1.286</v>
      </c>
      <c r="AE660" s="144">
        <f>ROUND(K660+mwreg!$G$73/100,3)</f>
        <v>-4.0000000000000001E-3</v>
      </c>
      <c r="AF660" s="102">
        <f t="shared" si="927"/>
        <v>0.2157</v>
      </c>
      <c r="AG660" s="102">
        <f t="shared" si="928"/>
        <v>3.1899999999999998E-2</v>
      </c>
      <c r="AH660" s="192">
        <f t="shared" si="1030"/>
        <v>3.3799999999999997E-2</v>
      </c>
      <c r="AI660" s="145">
        <f t="shared" si="1031"/>
        <v>180</v>
      </c>
      <c r="AJ660" s="145">
        <f t="shared" si="1032"/>
        <v>60</v>
      </c>
      <c r="AK660" s="144">
        <f t="shared" si="1033"/>
        <v>1E-3</v>
      </c>
      <c r="AL660" s="145">
        <f t="shared" si="1034"/>
        <v>3</v>
      </c>
      <c r="AM660" s="145">
        <f t="shared" si="1035"/>
        <v>1500</v>
      </c>
      <c r="AN660" s="144">
        <f t="shared" si="1036"/>
        <v>0.1</v>
      </c>
      <c r="AO660" s="189" t="str">
        <f t="shared" si="920"/>
        <v>NaN</v>
      </c>
    </row>
    <row r="661" spans="1:41" x14ac:dyDescent="0.2">
      <c r="A661" s="3" t="s">
        <v>296</v>
      </c>
      <c r="B661" s="3" t="s">
        <v>296</v>
      </c>
      <c r="C661" s="58">
        <v>35133</v>
      </c>
      <c r="D661" s="102">
        <v>57.1111</v>
      </c>
      <c r="E661" s="102">
        <v>12.2386</v>
      </c>
      <c r="F661" s="21">
        <v>8195</v>
      </c>
      <c r="G661" s="44">
        <v>0</v>
      </c>
      <c r="H661" s="185">
        <v>4</v>
      </c>
      <c r="I661" s="121">
        <f t="shared" si="1043"/>
        <v>-0.68899999999999995</v>
      </c>
      <c r="J661" s="101">
        <f t="shared" si="1043"/>
        <v>0.84299999999999997</v>
      </c>
      <c r="K661" s="101">
        <f t="shared" si="1043"/>
        <v>-8.5999999999999993E-2</v>
      </c>
      <c r="L661" s="102">
        <f t="shared" si="1045"/>
        <v>0.14879999999999999</v>
      </c>
      <c r="M661" s="102">
        <f t="shared" si="1045"/>
        <v>5.5599999999999997E-2</v>
      </c>
      <c r="N661" s="102">
        <f t="shared" si="1045"/>
        <v>5.74E-2</v>
      </c>
      <c r="O661" s="21">
        <f t="shared" ref="O661:P661" si="1052">ROUND(0.12*O601+0.88*O673,0)</f>
        <v>180</v>
      </c>
      <c r="P661" s="21">
        <f t="shared" si="1052"/>
        <v>60</v>
      </c>
      <c r="Q661" s="101">
        <f t="shared" si="1047"/>
        <v>1E-3</v>
      </c>
      <c r="R661" s="21">
        <f t="shared" ref="R661:S661" si="1053">ROUND(0.12*R601+0.88*R673,0)</f>
        <v>3</v>
      </c>
      <c r="S661" s="21">
        <f t="shared" si="1053"/>
        <v>1500</v>
      </c>
      <c r="T661" s="101">
        <f t="shared" si="1049"/>
        <v>0.1</v>
      </c>
      <c r="U661" s="103" t="s">
        <v>282</v>
      </c>
      <c r="V661" s="44"/>
      <c r="W661" s="58">
        <f t="shared" si="995"/>
        <v>35133</v>
      </c>
      <c r="X661" s="102">
        <f t="shared" si="996"/>
        <v>57.1111</v>
      </c>
      <c r="Y661" s="102">
        <f t="shared" si="997"/>
        <v>12.2386</v>
      </c>
      <c r="Z661" s="21">
        <f t="shared" si="998"/>
        <v>8195</v>
      </c>
      <c r="AA661" s="44">
        <f t="shared" si="999"/>
        <v>0</v>
      </c>
      <c r="AB661" s="21">
        <f t="shared" si="957"/>
        <v>4</v>
      </c>
      <c r="AC661" s="143">
        <f>ROUND(I661+mwreg!$G$73/100,3)</f>
        <v>-0.64500000000000002</v>
      </c>
      <c r="AD661" s="144">
        <f>ROUND(J661+mwreg!$G$73/100,3)</f>
        <v>0.88700000000000001</v>
      </c>
      <c r="AE661" s="144">
        <f>ROUND(K661+mwreg!$G$73/100,3)</f>
        <v>-4.2000000000000003E-2</v>
      </c>
      <c r="AF661" s="102">
        <f t="shared" si="927"/>
        <v>0.14879999999999999</v>
      </c>
      <c r="AG661" s="102">
        <f t="shared" si="928"/>
        <v>5.5599999999999997E-2</v>
      </c>
      <c r="AH661" s="192">
        <f t="shared" si="1030"/>
        <v>5.74E-2</v>
      </c>
      <c r="AI661" s="145">
        <f t="shared" si="1031"/>
        <v>180</v>
      </c>
      <c r="AJ661" s="145">
        <f t="shared" si="1032"/>
        <v>60</v>
      </c>
      <c r="AK661" s="144">
        <f t="shared" si="1033"/>
        <v>1E-3</v>
      </c>
      <c r="AL661" s="145">
        <f t="shared" si="1034"/>
        <v>3</v>
      </c>
      <c r="AM661" s="145">
        <f t="shared" si="1035"/>
        <v>1500</v>
      </c>
      <c r="AN661" s="144">
        <f t="shared" si="1036"/>
        <v>0.1</v>
      </c>
      <c r="AO661" s="189" t="str">
        <f t="shared" si="920"/>
        <v>NaN</v>
      </c>
    </row>
    <row r="662" spans="1:41" x14ac:dyDescent="0.2">
      <c r="A662" s="3" t="s">
        <v>296</v>
      </c>
      <c r="B662" s="3" t="s">
        <v>296</v>
      </c>
      <c r="C662" s="58">
        <v>35133</v>
      </c>
      <c r="D662" s="102">
        <v>57.1111</v>
      </c>
      <c r="E662" s="102">
        <v>12.2386</v>
      </c>
      <c r="F662" s="21">
        <v>8195</v>
      </c>
      <c r="G662" s="44">
        <v>0</v>
      </c>
      <c r="H662" s="185">
        <v>5</v>
      </c>
      <c r="I662" s="121">
        <f t="shared" si="1043"/>
        <v>-0.54900000000000004</v>
      </c>
      <c r="J662" s="101">
        <f t="shared" si="1043"/>
        <v>0.61199999999999999</v>
      </c>
      <c r="K662" s="101">
        <f t="shared" si="1043"/>
        <v>-5.3999999999999999E-2</v>
      </c>
      <c r="L662" s="102">
        <f t="shared" si="1045"/>
        <v>0.1303</v>
      </c>
      <c r="M662" s="102">
        <f t="shared" si="1045"/>
        <v>3.56E-2</v>
      </c>
      <c r="N662" s="102">
        <f t="shared" si="1045"/>
        <v>3.7400000000000003E-2</v>
      </c>
      <c r="O662" s="21">
        <f t="shared" ref="O662:P662" si="1054">ROUND(0.12*O602+0.88*O674,0)</f>
        <v>180</v>
      </c>
      <c r="P662" s="21">
        <f t="shared" si="1054"/>
        <v>60</v>
      </c>
      <c r="Q662" s="101">
        <f t="shared" si="1047"/>
        <v>1E-3</v>
      </c>
      <c r="R662" s="21">
        <f t="shared" ref="R662:S662" si="1055">ROUND(0.12*R602+0.88*R674,0)</f>
        <v>3</v>
      </c>
      <c r="S662" s="21">
        <f t="shared" si="1055"/>
        <v>1500</v>
      </c>
      <c r="T662" s="101">
        <f t="shared" si="1049"/>
        <v>0.1</v>
      </c>
      <c r="U662" s="103" t="s">
        <v>282</v>
      </c>
      <c r="V662" s="44"/>
      <c r="W662" s="58">
        <f t="shared" si="995"/>
        <v>35133</v>
      </c>
      <c r="X662" s="102">
        <f t="shared" si="996"/>
        <v>57.1111</v>
      </c>
      <c r="Y662" s="102">
        <f t="shared" si="997"/>
        <v>12.2386</v>
      </c>
      <c r="Z662" s="21">
        <f t="shared" si="998"/>
        <v>8195</v>
      </c>
      <c r="AA662" s="44">
        <f t="shared" si="999"/>
        <v>0</v>
      </c>
      <c r="AB662" s="21">
        <f t="shared" si="957"/>
        <v>5</v>
      </c>
      <c r="AC662" s="143">
        <f>ROUND(I662+mwreg!$G$73/100,3)</f>
        <v>-0.505</v>
      </c>
      <c r="AD662" s="144">
        <f>ROUND(J662+mwreg!$G$73/100,3)</f>
        <v>0.65600000000000003</v>
      </c>
      <c r="AE662" s="144">
        <f>ROUND(K662+mwreg!$G$73/100,3)</f>
        <v>-0.01</v>
      </c>
      <c r="AF662" s="102">
        <f t="shared" si="927"/>
        <v>0.1303</v>
      </c>
      <c r="AG662" s="102">
        <f t="shared" si="928"/>
        <v>3.56E-2</v>
      </c>
      <c r="AH662" s="192">
        <f t="shared" si="1030"/>
        <v>3.7400000000000003E-2</v>
      </c>
      <c r="AI662" s="145">
        <f t="shared" si="1031"/>
        <v>180</v>
      </c>
      <c r="AJ662" s="145">
        <f t="shared" si="1032"/>
        <v>60</v>
      </c>
      <c r="AK662" s="144">
        <f t="shared" si="1033"/>
        <v>1E-3</v>
      </c>
      <c r="AL662" s="145">
        <f t="shared" si="1034"/>
        <v>3</v>
      </c>
      <c r="AM662" s="145">
        <f t="shared" si="1035"/>
        <v>1500</v>
      </c>
      <c r="AN662" s="144">
        <f t="shared" si="1036"/>
        <v>0.1</v>
      </c>
      <c r="AO662" s="189" t="str">
        <f t="shared" ref="AO662:AO717" si="1056">U662</f>
        <v>NaN</v>
      </c>
    </row>
    <row r="663" spans="1:41" x14ac:dyDescent="0.2">
      <c r="A663" s="3" t="s">
        <v>296</v>
      </c>
      <c r="B663" s="3" t="s">
        <v>296</v>
      </c>
      <c r="C663" s="58">
        <v>35133</v>
      </c>
      <c r="D663" s="102">
        <v>57.1111</v>
      </c>
      <c r="E663" s="102">
        <v>12.2386</v>
      </c>
      <c r="F663" s="21">
        <v>8195</v>
      </c>
      <c r="G663" s="44">
        <v>0</v>
      </c>
      <c r="H663" s="185">
        <v>6</v>
      </c>
      <c r="I663" s="121">
        <f t="shared" si="1043"/>
        <v>-0.43099999999999999</v>
      </c>
      <c r="J663" s="101">
        <f t="shared" si="1043"/>
        <v>0.71199999999999997</v>
      </c>
      <c r="K663" s="101">
        <f t="shared" si="1043"/>
        <v>-8.9999999999999993E-3</v>
      </c>
      <c r="L663" s="102">
        <f t="shared" si="1045"/>
        <v>0.1196</v>
      </c>
      <c r="M663" s="102">
        <f t="shared" si="1045"/>
        <v>8.09E-2</v>
      </c>
      <c r="N663" s="102">
        <f t="shared" si="1045"/>
        <v>8.2799999999999999E-2</v>
      </c>
      <c r="O663" s="21">
        <f t="shared" ref="O663:P663" si="1057">ROUND(0.12*O603+0.88*O675,0)</f>
        <v>180</v>
      </c>
      <c r="P663" s="21">
        <f t="shared" si="1057"/>
        <v>60</v>
      </c>
      <c r="Q663" s="101">
        <f t="shared" si="1047"/>
        <v>1E-3</v>
      </c>
      <c r="R663" s="21">
        <f t="shared" ref="R663:S663" si="1058">ROUND(0.12*R603+0.88*R675,0)</f>
        <v>3</v>
      </c>
      <c r="S663" s="21">
        <f t="shared" si="1058"/>
        <v>1500</v>
      </c>
      <c r="T663" s="101">
        <f t="shared" si="1049"/>
        <v>0.1</v>
      </c>
      <c r="U663" s="103" t="s">
        <v>282</v>
      </c>
      <c r="V663" s="44"/>
      <c r="W663" s="58">
        <f t="shared" si="995"/>
        <v>35133</v>
      </c>
      <c r="X663" s="102">
        <f t="shared" si="996"/>
        <v>57.1111</v>
      </c>
      <c r="Y663" s="102">
        <f t="shared" si="997"/>
        <v>12.2386</v>
      </c>
      <c r="Z663" s="21">
        <f t="shared" si="998"/>
        <v>8195</v>
      </c>
      <c r="AA663" s="44">
        <f t="shared" si="999"/>
        <v>0</v>
      </c>
      <c r="AB663" s="21">
        <f t="shared" si="957"/>
        <v>6</v>
      </c>
      <c r="AC663" s="143">
        <f>ROUND(I663+mwreg!$G$73/100,3)</f>
        <v>-0.38700000000000001</v>
      </c>
      <c r="AD663" s="144">
        <f>ROUND(J663+mwreg!$G$73/100,3)</f>
        <v>0.75600000000000001</v>
      </c>
      <c r="AE663" s="144">
        <f>ROUND(K663+mwreg!$G$73/100,3)</f>
        <v>3.5000000000000003E-2</v>
      </c>
      <c r="AF663" s="102">
        <f t="shared" si="927"/>
        <v>0.1196</v>
      </c>
      <c r="AG663" s="102">
        <f t="shared" si="928"/>
        <v>8.09E-2</v>
      </c>
      <c r="AH663" s="192">
        <f t="shared" si="1030"/>
        <v>8.2799999999999999E-2</v>
      </c>
      <c r="AI663" s="145">
        <f t="shared" si="1031"/>
        <v>180</v>
      </c>
      <c r="AJ663" s="145">
        <f t="shared" si="1032"/>
        <v>60</v>
      </c>
      <c r="AK663" s="144">
        <f t="shared" si="1033"/>
        <v>1E-3</v>
      </c>
      <c r="AL663" s="145">
        <f t="shared" si="1034"/>
        <v>3</v>
      </c>
      <c r="AM663" s="145">
        <f t="shared" si="1035"/>
        <v>1500</v>
      </c>
      <c r="AN663" s="144">
        <f t="shared" si="1036"/>
        <v>0.1</v>
      </c>
      <c r="AO663" s="189" t="str">
        <f t="shared" si="1056"/>
        <v>NaN</v>
      </c>
    </row>
    <row r="664" spans="1:41" x14ac:dyDescent="0.2">
      <c r="A664" s="3" t="s">
        <v>296</v>
      </c>
      <c r="B664" s="3" t="s">
        <v>296</v>
      </c>
      <c r="C664" s="58">
        <v>35133</v>
      </c>
      <c r="D664" s="102">
        <v>57.1111</v>
      </c>
      <c r="E664" s="102">
        <v>12.2386</v>
      </c>
      <c r="F664" s="21">
        <v>8195</v>
      </c>
      <c r="G664" s="44">
        <v>0</v>
      </c>
      <c r="H664" s="185">
        <v>7</v>
      </c>
      <c r="I664" s="121">
        <f t="shared" si="1043"/>
        <v>-0.35199999999999998</v>
      </c>
      <c r="J664" s="101">
        <f t="shared" si="1043"/>
        <v>0.76800000000000002</v>
      </c>
      <c r="K664" s="101">
        <f t="shared" si="1043"/>
        <v>6.9000000000000006E-2</v>
      </c>
      <c r="L664" s="102">
        <f t="shared" si="1045"/>
        <v>0.1244</v>
      </c>
      <c r="M664" s="102">
        <f t="shared" si="1045"/>
        <v>2.5100000000000001E-2</v>
      </c>
      <c r="N664" s="102">
        <f t="shared" si="1045"/>
        <v>2.6800000000000001E-2</v>
      </c>
      <c r="O664" s="21">
        <f t="shared" ref="O664:P664" si="1059">ROUND(0.12*O604+0.88*O676,0)</f>
        <v>180</v>
      </c>
      <c r="P664" s="21">
        <f t="shared" si="1059"/>
        <v>60</v>
      </c>
      <c r="Q664" s="101">
        <f t="shared" si="1047"/>
        <v>1E-3</v>
      </c>
      <c r="R664" s="21">
        <f t="shared" ref="R664:S664" si="1060">ROUND(0.12*R604+0.88*R676,0)</f>
        <v>3</v>
      </c>
      <c r="S664" s="21">
        <f t="shared" si="1060"/>
        <v>1500</v>
      </c>
      <c r="T664" s="101">
        <f t="shared" si="1049"/>
        <v>0.1</v>
      </c>
      <c r="U664" s="103" t="s">
        <v>282</v>
      </c>
      <c r="V664" s="44"/>
      <c r="W664" s="58">
        <f t="shared" si="995"/>
        <v>35133</v>
      </c>
      <c r="X664" s="102">
        <f t="shared" si="996"/>
        <v>57.1111</v>
      </c>
      <c r="Y664" s="102">
        <f t="shared" si="997"/>
        <v>12.2386</v>
      </c>
      <c r="Z664" s="21">
        <f t="shared" si="998"/>
        <v>8195</v>
      </c>
      <c r="AA664" s="44">
        <f t="shared" si="999"/>
        <v>0</v>
      </c>
      <c r="AB664" s="21">
        <f t="shared" si="957"/>
        <v>7</v>
      </c>
      <c r="AC664" s="143">
        <f>ROUND(I664+mwreg!$G$73/100,3)</f>
        <v>-0.308</v>
      </c>
      <c r="AD664" s="144">
        <f>ROUND(J664+mwreg!$G$73/100,3)</f>
        <v>0.81200000000000006</v>
      </c>
      <c r="AE664" s="144">
        <f>ROUND(K664+mwreg!$G$73/100,3)</f>
        <v>0.113</v>
      </c>
      <c r="AF664" s="102">
        <f t="shared" si="927"/>
        <v>0.1244</v>
      </c>
      <c r="AG664" s="102">
        <f t="shared" si="928"/>
        <v>2.5100000000000001E-2</v>
      </c>
      <c r="AH664" s="192">
        <f t="shared" si="1030"/>
        <v>2.6800000000000001E-2</v>
      </c>
      <c r="AI664" s="145">
        <f t="shared" si="1031"/>
        <v>180</v>
      </c>
      <c r="AJ664" s="145">
        <f t="shared" si="1032"/>
        <v>60</v>
      </c>
      <c r="AK664" s="144">
        <f t="shared" si="1033"/>
        <v>1E-3</v>
      </c>
      <c r="AL664" s="145">
        <f t="shared" si="1034"/>
        <v>3</v>
      </c>
      <c r="AM664" s="145">
        <f t="shared" si="1035"/>
        <v>1500</v>
      </c>
      <c r="AN664" s="144">
        <f t="shared" si="1036"/>
        <v>0.1</v>
      </c>
      <c r="AO664" s="189" t="str">
        <f t="shared" si="1056"/>
        <v>NaN</v>
      </c>
    </row>
    <row r="665" spans="1:41" x14ac:dyDescent="0.2">
      <c r="A665" s="3" t="s">
        <v>296</v>
      </c>
      <c r="B665" s="3" t="s">
        <v>296</v>
      </c>
      <c r="C665" s="58">
        <v>35133</v>
      </c>
      <c r="D665" s="102">
        <v>57.1111</v>
      </c>
      <c r="E665" s="102">
        <v>12.2386</v>
      </c>
      <c r="F665" s="21">
        <v>8195</v>
      </c>
      <c r="G665" s="44">
        <v>0</v>
      </c>
      <c r="H665" s="185">
        <v>8</v>
      </c>
      <c r="I665" s="121">
        <f t="shared" si="1043"/>
        <v>-0.32800000000000001</v>
      </c>
      <c r="J665" s="101">
        <f t="shared" si="1043"/>
        <v>0.95399999999999996</v>
      </c>
      <c r="K665" s="101">
        <f t="shared" si="1043"/>
        <v>7.0000000000000007E-2</v>
      </c>
      <c r="L665" s="102">
        <f t="shared" si="1045"/>
        <v>0.12139999999999999</v>
      </c>
      <c r="M665" s="102">
        <f t="shared" si="1045"/>
        <v>3.8600000000000002E-2</v>
      </c>
      <c r="N665" s="102">
        <f t="shared" si="1045"/>
        <v>4.0500000000000001E-2</v>
      </c>
      <c r="O665" s="21">
        <f t="shared" ref="O665:P665" si="1061">ROUND(0.12*O605+0.88*O677,0)</f>
        <v>180</v>
      </c>
      <c r="P665" s="21">
        <f t="shared" si="1061"/>
        <v>60</v>
      </c>
      <c r="Q665" s="101">
        <f t="shared" si="1047"/>
        <v>1E-3</v>
      </c>
      <c r="R665" s="21">
        <f t="shared" ref="R665:S665" si="1062">ROUND(0.12*R605+0.88*R677,0)</f>
        <v>3</v>
      </c>
      <c r="S665" s="21">
        <f t="shared" si="1062"/>
        <v>1500</v>
      </c>
      <c r="T665" s="101">
        <f t="shared" si="1049"/>
        <v>0.1</v>
      </c>
      <c r="U665" s="103" t="s">
        <v>282</v>
      </c>
      <c r="V665" s="44"/>
      <c r="W665" s="58">
        <f t="shared" si="995"/>
        <v>35133</v>
      </c>
      <c r="X665" s="102">
        <f t="shared" si="996"/>
        <v>57.1111</v>
      </c>
      <c r="Y665" s="102">
        <f t="shared" si="997"/>
        <v>12.2386</v>
      </c>
      <c r="Z665" s="21">
        <f t="shared" si="998"/>
        <v>8195</v>
      </c>
      <c r="AA665" s="44">
        <f t="shared" si="999"/>
        <v>0</v>
      </c>
      <c r="AB665" s="21">
        <f t="shared" si="957"/>
        <v>8</v>
      </c>
      <c r="AC665" s="143">
        <f>ROUND(I665+mwreg!$G$73/100,3)</f>
        <v>-0.28399999999999997</v>
      </c>
      <c r="AD665" s="144">
        <f>ROUND(J665+mwreg!$G$73/100,3)</f>
        <v>0.998</v>
      </c>
      <c r="AE665" s="144">
        <f>ROUND(K665+mwreg!$G$73/100,3)</f>
        <v>0.114</v>
      </c>
      <c r="AF665" s="102">
        <f t="shared" si="927"/>
        <v>0.12139999999999999</v>
      </c>
      <c r="AG665" s="102">
        <f t="shared" si="928"/>
        <v>3.8600000000000002E-2</v>
      </c>
      <c r="AH665" s="192">
        <f t="shared" si="1030"/>
        <v>4.0500000000000001E-2</v>
      </c>
      <c r="AI665" s="145">
        <f t="shared" si="1031"/>
        <v>180</v>
      </c>
      <c r="AJ665" s="145">
        <f t="shared" si="1032"/>
        <v>60</v>
      </c>
      <c r="AK665" s="144">
        <f t="shared" si="1033"/>
        <v>1E-3</v>
      </c>
      <c r="AL665" s="145">
        <f t="shared" si="1034"/>
        <v>3</v>
      </c>
      <c r="AM665" s="145">
        <f t="shared" si="1035"/>
        <v>1500</v>
      </c>
      <c r="AN665" s="144">
        <f t="shared" si="1036"/>
        <v>0.1</v>
      </c>
      <c r="AO665" s="189" t="str">
        <f t="shared" si="1056"/>
        <v>NaN</v>
      </c>
    </row>
    <row r="666" spans="1:41" x14ac:dyDescent="0.2">
      <c r="A666" s="3" t="s">
        <v>296</v>
      </c>
      <c r="B666" s="3" t="s">
        <v>296</v>
      </c>
      <c r="C666" s="58">
        <v>35133</v>
      </c>
      <c r="D666" s="102">
        <v>57.1111</v>
      </c>
      <c r="E666" s="102">
        <v>12.2386</v>
      </c>
      <c r="F666" s="21">
        <v>8195</v>
      </c>
      <c r="G666" s="44">
        <v>0</v>
      </c>
      <c r="H666" s="185">
        <v>9</v>
      </c>
      <c r="I666" s="121">
        <f t="shared" si="1043"/>
        <v>-0.45300000000000001</v>
      </c>
      <c r="J666" s="101">
        <f t="shared" si="1043"/>
        <v>1.17</v>
      </c>
      <c r="K666" s="101">
        <f t="shared" si="1043"/>
        <v>9.4E-2</v>
      </c>
      <c r="L666" s="102">
        <f t="shared" si="1045"/>
        <v>0.16880000000000001</v>
      </c>
      <c r="M666" s="102">
        <f t="shared" si="1045"/>
        <v>3.8100000000000002E-2</v>
      </c>
      <c r="N666" s="102">
        <f t="shared" si="1045"/>
        <v>3.9899999999999998E-2</v>
      </c>
      <c r="O666" s="21">
        <f t="shared" ref="O666:P666" si="1063">ROUND(0.12*O606+0.88*O678,0)</f>
        <v>180</v>
      </c>
      <c r="P666" s="21">
        <f t="shared" si="1063"/>
        <v>60</v>
      </c>
      <c r="Q666" s="101">
        <f t="shared" si="1047"/>
        <v>1E-3</v>
      </c>
      <c r="R666" s="21">
        <f t="shared" ref="R666:S666" si="1064">ROUND(0.12*R606+0.88*R678,0)</f>
        <v>3</v>
      </c>
      <c r="S666" s="21">
        <f t="shared" si="1064"/>
        <v>1500</v>
      </c>
      <c r="T666" s="101">
        <f t="shared" si="1049"/>
        <v>0.1</v>
      </c>
      <c r="U666" s="103" t="s">
        <v>282</v>
      </c>
      <c r="V666" s="44"/>
      <c r="W666" s="58">
        <f t="shared" si="995"/>
        <v>35133</v>
      </c>
      <c r="X666" s="102">
        <f t="shared" si="996"/>
        <v>57.1111</v>
      </c>
      <c r="Y666" s="102">
        <f t="shared" si="997"/>
        <v>12.2386</v>
      </c>
      <c r="Z666" s="21">
        <f t="shared" si="998"/>
        <v>8195</v>
      </c>
      <c r="AA666" s="44">
        <f t="shared" si="999"/>
        <v>0</v>
      </c>
      <c r="AB666" s="21">
        <f t="shared" si="957"/>
        <v>9</v>
      </c>
      <c r="AC666" s="143">
        <f>ROUND(I666+mwreg!$G$73/100,3)</f>
        <v>-0.40899999999999997</v>
      </c>
      <c r="AD666" s="144">
        <f>ROUND(J666+mwreg!$G$73/100,3)</f>
        <v>1.214</v>
      </c>
      <c r="AE666" s="144">
        <f>ROUND(K666+mwreg!$G$73/100,3)</f>
        <v>0.13800000000000001</v>
      </c>
      <c r="AF666" s="102">
        <f t="shared" si="927"/>
        <v>0.16880000000000001</v>
      </c>
      <c r="AG666" s="102">
        <f t="shared" si="928"/>
        <v>3.8100000000000002E-2</v>
      </c>
      <c r="AH666" s="192">
        <f t="shared" si="1030"/>
        <v>3.9899999999999998E-2</v>
      </c>
      <c r="AI666" s="145">
        <f t="shared" si="1031"/>
        <v>180</v>
      </c>
      <c r="AJ666" s="145">
        <f t="shared" si="1032"/>
        <v>60</v>
      </c>
      <c r="AK666" s="144">
        <f t="shared" si="1033"/>
        <v>1E-3</v>
      </c>
      <c r="AL666" s="145">
        <f t="shared" si="1034"/>
        <v>3</v>
      </c>
      <c r="AM666" s="145">
        <f t="shared" si="1035"/>
        <v>1500</v>
      </c>
      <c r="AN666" s="144">
        <f t="shared" si="1036"/>
        <v>0.1</v>
      </c>
      <c r="AO666" s="189" t="str">
        <f t="shared" si="1056"/>
        <v>NaN</v>
      </c>
    </row>
    <row r="667" spans="1:41" x14ac:dyDescent="0.2">
      <c r="A667" s="3" t="s">
        <v>296</v>
      </c>
      <c r="B667" s="3" t="s">
        <v>296</v>
      </c>
      <c r="C667" s="58">
        <v>35133</v>
      </c>
      <c r="D667" s="102">
        <v>57.1111</v>
      </c>
      <c r="E667" s="102">
        <v>12.2386</v>
      </c>
      <c r="F667" s="21">
        <v>8195</v>
      </c>
      <c r="G667" s="44">
        <v>0</v>
      </c>
      <c r="H667" s="185">
        <v>10</v>
      </c>
      <c r="I667" s="121">
        <f t="shared" si="1043"/>
        <v>-0.71</v>
      </c>
      <c r="J667" s="101">
        <f t="shared" si="1043"/>
        <v>1.2989999999999999</v>
      </c>
      <c r="K667" s="101">
        <f t="shared" si="1043"/>
        <v>0.08</v>
      </c>
      <c r="L667" s="102">
        <f t="shared" si="1045"/>
        <v>0.1923</v>
      </c>
      <c r="M667" s="102">
        <f t="shared" si="1045"/>
        <v>3.3500000000000002E-2</v>
      </c>
      <c r="N667" s="102">
        <f t="shared" si="1045"/>
        <v>3.56E-2</v>
      </c>
      <c r="O667" s="21">
        <f t="shared" ref="O667:P667" si="1065">ROUND(0.12*O607+0.88*O679,0)</f>
        <v>180</v>
      </c>
      <c r="P667" s="21">
        <f t="shared" si="1065"/>
        <v>60</v>
      </c>
      <c r="Q667" s="101">
        <f t="shared" si="1047"/>
        <v>1E-3</v>
      </c>
      <c r="R667" s="21">
        <f t="shared" ref="R667:S667" si="1066">ROUND(0.12*R607+0.88*R679,0)</f>
        <v>3</v>
      </c>
      <c r="S667" s="21">
        <f t="shared" si="1066"/>
        <v>1500</v>
      </c>
      <c r="T667" s="101">
        <f t="shared" si="1049"/>
        <v>0.1</v>
      </c>
      <c r="U667" s="103" t="s">
        <v>282</v>
      </c>
      <c r="V667" s="44"/>
      <c r="W667" s="58">
        <f t="shared" si="995"/>
        <v>35133</v>
      </c>
      <c r="X667" s="102">
        <f t="shared" si="996"/>
        <v>57.1111</v>
      </c>
      <c r="Y667" s="102">
        <f t="shared" si="997"/>
        <v>12.2386</v>
      </c>
      <c r="Z667" s="21">
        <f t="shared" si="998"/>
        <v>8195</v>
      </c>
      <c r="AA667" s="44">
        <f t="shared" si="999"/>
        <v>0</v>
      </c>
      <c r="AB667" s="21">
        <f t="shared" si="957"/>
        <v>10</v>
      </c>
      <c r="AC667" s="143">
        <f>ROUND(I667+mwreg!$G$73/100,3)</f>
        <v>-0.66600000000000004</v>
      </c>
      <c r="AD667" s="144">
        <f>ROUND(J667+mwreg!$G$73/100,3)</f>
        <v>1.343</v>
      </c>
      <c r="AE667" s="144">
        <f>ROUND(K667+mwreg!$G$73/100,3)</f>
        <v>0.124</v>
      </c>
      <c r="AF667" s="102">
        <f t="shared" si="927"/>
        <v>0.1923</v>
      </c>
      <c r="AG667" s="102">
        <f t="shared" si="928"/>
        <v>3.3500000000000002E-2</v>
      </c>
      <c r="AH667" s="192">
        <f t="shared" si="1030"/>
        <v>3.56E-2</v>
      </c>
      <c r="AI667" s="145">
        <f t="shared" si="1031"/>
        <v>180</v>
      </c>
      <c r="AJ667" s="145">
        <f t="shared" si="1032"/>
        <v>60</v>
      </c>
      <c r="AK667" s="144">
        <f t="shared" si="1033"/>
        <v>1E-3</v>
      </c>
      <c r="AL667" s="145">
        <f t="shared" si="1034"/>
        <v>3</v>
      </c>
      <c r="AM667" s="145">
        <f t="shared" si="1035"/>
        <v>1500</v>
      </c>
      <c r="AN667" s="144">
        <f t="shared" si="1036"/>
        <v>0.1</v>
      </c>
      <c r="AO667" s="189" t="str">
        <f t="shared" si="1056"/>
        <v>NaN</v>
      </c>
    </row>
    <row r="668" spans="1:41" x14ac:dyDescent="0.2">
      <c r="A668" s="3" t="s">
        <v>296</v>
      </c>
      <c r="B668" s="3" t="s">
        <v>296</v>
      </c>
      <c r="C668" s="58">
        <v>35133</v>
      </c>
      <c r="D668" s="102">
        <v>57.1111</v>
      </c>
      <c r="E668" s="102">
        <v>12.2386</v>
      </c>
      <c r="F668" s="21">
        <v>8195</v>
      </c>
      <c r="G668" s="44">
        <v>0</v>
      </c>
      <c r="H668" s="185">
        <v>11</v>
      </c>
      <c r="I668" s="121">
        <f t="shared" si="1043"/>
        <v>-0.86899999999999999</v>
      </c>
      <c r="J668" s="101">
        <f t="shared" si="1043"/>
        <v>1.3380000000000001</v>
      </c>
      <c r="K668" s="101">
        <f t="shared" si="1043"/>
        <v>0.08</v>
      </c>
      <c r="L668" s="102">
        <f t="shared" si="1045"/>
        <v>0.2175</v>
      </c>
      <c r="M668" s="102">
        <f t="shared" si="1045"/>
        <v>3.2599999999999997E-2</v>
      </c>
      <c r="N668" s="102">
        <f t="shared" si="1045"/>
        <v>3.49E-2</v>
      </c>
      <c r="O668" s="21">
        <f t="shared" ref="O668:P668" si="1067">ROUND(0.12*O608+0.88*O680,0)</f>
        <v>180</v>
      </c>
      <c r="P668" s="21">
        <f t="shared" si="1067"/>
        <v>60</v>
      </c>
      <c r="Q668" s="101">
        <f t="shared" si="1047"/>
        <v>1E-3</v>
      </c>
      <c r="R668" s="21">
        <f t="shared" ref="R668:S668" si="1068">ROUND(0.12*R608+0.88*R680,0)</f>
        <v>3</v>
      </c>
      <c r="S668" s="21">
        <f t="shared" si="1068"/>
        <v>1500</v>
      </c>
      <c r="T668" s="101">
        <f t="shared" si="1049"/>
        <v>0.1</v>
      </c>
      <c r="U668" s="103" t="s">
        <v>282</v>
      </c>
      <c r="V668" s="44"/>
      <c r="W668" s="58">
        <f t="shared" si="995"/>
        <v>35133</v>
      </c>
      <c r="X668" s="102">
        <f t="shared" si="996"/>
        <v>57.1111</v>
      </c>
      <c r="Y668" s="102">
        <f t="shared" si="997"/>
        <v>12.2386</v>
      </c>
      <c r="Z668" s="21">
        <f t="shared" si="998"/>
        <v>8195</v>
      </c>
      <c r="AA668" s="44">
        <f t="shared" si="999"/>
        <v>0</v>
      </c>
      <c r="AB668" s="21">
        <f t="shared" si="957"/>
        <v>11</v>
      </c>
      <c r="AC668" s="143">
        <f>ROUND(I668+mwreg!$G$73/100,3)</f>
        <v>-0.82499999999999996</v>
      </c>
      <c r="AD668" s="144">
        <f>ROUND(J668+mwreg!$G$73/100,3)</f>
        <v>1.3819999999999999</v>
      </c>
      <c r="AE668" s="144">
        <f>ROUND(K668+mwreg!$G$73/100,3)</f>
        <v>0.124</v>
      </c>
      <c r="AF668" s="102">
        <f t="shared" si="927"/>
        <v>0.2175</v>
      </c>
      <c r="AG668" s="102">
        <f t="shared" si="928"/>
        <v>3.2599999999999997E-2</v>
      </c>
      <c r="AH668" s="192">
        <f t="shared" si="1030"/>
        <v>3.49E-2</v>
      </c>
      <c r="AI668" s="145">
        <f t="shared" si="1031"/>
        <v>180</v>
      </c>
      <c r="AJ668" s="145">
        <f t="shared" si="1032"/>
        <v>60</v>
      </c>
      <c r="AK668" s="144">
        <f t="shared" si="1033"/>
        <v>1E-3</v>
      </c>
      <c r="AL668" s="145">
        <f t="shared" si="1034"/>
        <v>3</v>
      </c>
      <c r="AM668" s="145">
        <f t="shared" si="1035"/>
        <v>1500</v>
      </c>
      <c r="AN668" s="144">
        <f t="shared" si="1036"/>
        <v>0.1</v>
      </c>
      <c r="AO668" s="189" t="str">
        <f t="shared" si="1056"/>
        <v>NaN</v>
      </c>
    </row>
    <row r="669" spans="1:41" x14ac:dyDescent="0.2">
      <c r="A669" s="3" t="s">
        <v>296</v>
      </c>
      <c r="B669" s="3" t="s">
        <v>296</v>
      </c>
      <c r="C669" s="58">
        <v>35133</v>
      </c>
      <c r="D669" s="102">
        <v>57.1111</v>
      </c>
      <c r="E669" s="102">
        <v>12.2386</v>
      </c>
      <c r="F669" s="21">
        <v>8195</v>
      </c>
      <c r="G669" s="44">
        <v>0</v>
      </c>
      <c r="H669" s="185">
        <v>12</v>
      </c>
      <c r="I669" s="121">
        <f t="shared" si="1043"/>
        <v>-0.88900000000000001</v>
      </c>
      <c r="J669" s="101">
        <f t="shared" si="1043"/>
        <v>1.4910000000000001</v>
      </c>
      <c r="K669" s="101">
        <f t="shared" si="1043"/>
        <v>0.109</v>
      </c>
      <c r="L669" s="102">
        <f t="shared" si="1045"/>
        <v>0.24440000000000001</v>
      </c>
      <c r="M669" s="102">
        <f t="shared" si="1045"/>
        <v>3.8699999999999998E-2</v>
      </c>
      <c r="N669" s="102">
        <f t="shared" si="1045"/>
        <v>4.1099999999999998E-2</v>
      </c>
      <c r="O669" s="21">
        <f t="shared" ref="O669:P669" si="1069">ROUND(0.12*O609+0.88*O681,0)</f>
        <v>180</v>
      </c>
      <c r="P669" s="21">
        <f t="shared" si="1069"/>
        <v>60</v>
      </c>
      <c r="Q669" s="101">
        <f t="shared" si="1047"/>
        <v>1E-3</v>
      </c>
      <c r="R669" s="21">
        <f t="shared" ref="R669:S669" si="1070">ROUND(0.12*R609+0.88*R681,0)</f>
        <v>3</v>
      </c>
      <c r="S669" s="21">
        <f t="shared" si="1070"/>
        <v>1500</v>
      </c>
      <c r="T669" s="101">
        <f t="shared" si="1049"/>
        <v>0.1</v>
      </c>
      <c r="U669" s="103" t="s">
        <v>282</v>
      </c>
      <c r="V669" s="44"/>
      <c r="W669" s="58">
        <f t="shared" si="995"/>
        <v>35133</v>
      </c>
      <c r="X669" s="102">
        <f t="shared" si="996"/>
        <v>57.1111</v>
      </c>
      <c r="Y669" s="102">
        <f t="shared" si="997"/>
        <v>12.2386</v>
      </c>
      <c r="Z669" s="21">
        <f t="shared" si="998"/>
        <v>8195</v>
      </c>
      <c r="AA669" s="44">
        <f t="shared" si="999"/>
        <v>0</v>
      </c>
      <c r="AB669" s="21">
        <f t="shared" si="957"/>
        <v>12</v>
      </c>
      <c r="AC669" s="143">
        <f>ROUND(I669+mwreg!$G$73/100,3)</f>
        <v>-0.84499999999999997</v>
      </c>
      <c r="AD669" s="144">
        <f>ROUND(J669+mwreg!$G$73/100,3)</f>
        <v>1.5349999999999999</v>
      </c>
      <c r="AE669" s="144">
        <f>ROUND(K669+mwreg!$G$73/100,3)</f>
        <v>0.153</v>
      </c>
      <c r="AF669" s="102">
        <f t="shared" si="927"/>
        <v>0.24440000000000001</v>
      </c>
      <c r="AG669" s="102">
        <f t="shared" si="928"/>
        <v>3.8699999999999998E-2</v>
      </c>
      <c r="AH669" s="192">
        <f t="shared" si="1030"/>
        <v>4.1099999999999998E-2</v>
      </c>
      <c r="AI669" s="145">
        <f t="shared" si="1031"/>
        <v>180</v>
      </c>
      <c r="AJ669" s="145">
        <f t="shared" si="1032"/>
        <v>60</v>
      </c>
      <c r="AK669" s="144">
        <f t="shared" si="1033"/>
        <v>1E-3</v>
      </c>
      <c r="AL669" s="145">
        <f t="shared" si="1034"/>
        <v>3</v>
      </c>
      <c r="AM669" s="145">
        <f t="shared" si="1035"/>
        <v>1500</v>
      </c>
      <c r="AN669" s="144">
        <f t="shared" si="1036"/>
        <v>0.1</v>
      </c>
      <c r="AO669" s="189" t="str">
        <f t="shared" si="1056"/>
        <v>NaN</v>
      </c>
    </row>
    <row r="670" spans="1:41" x14ac:dyDescent="0.2">
      <c r="A670" s="3" t="str">
        <f>stat_uppg!A64</f>
        <v>2105/33069</v>
      </c>
      <c r="B670" s="3" t="str">
        <f>stat_uppg!B64</f>
        <v>RINGHALS (SMHI)</v>
      </c>
      <c r="C670" s="55">
        <v>2105</v>
      </c>
      <c r="D670" s="79">
        <v>57.249699999999997</v>
      </c>
      <c r="E670" s="79">
        <v>12.112500000000001</v>
      </c>
      <c r="F670" s="14">
        <v>8195</v>
      </c>
      <c r="G670" s="10">
        <v>0</v>
      </c>
      <c r="H670" s="122">
        <v>1</v>
      </c>
      <c r="I670" s="120">
        <v>-1.07</v>
      </c>
      <c r="J670" s="106">
        <v>1.651</v>
      </c>
      <c r="K670" s="106">
        <v>8.1000000000000003E-2</v>
      </c>
      <c r="L670" s="100">
        <v>0.26679999999999998</v>
      </c>
      <c r="M670" s="79">
        <v>2.47E-2</v>
      </c>
      <c r="N670" s="79">
        <v>2.6499999999999999E-2</v>
      </c>
      <c r="O670" s="14">
        <v>180</v>
      </c>
      <c r="P670" s="14">
        <v>60</v>
      </c>
      <c r="Q670" s="11">
        <v>1E-3</v>
      </c>
      <c r="R670" s="14">
        <v>3</v>
      </c>
      <c r="S670" s="14">
        <v>1500</v>
      </c>
      <c r="T670" s="11">
        <v>0.1</v>
      </c>
      <c r="U670" s="122">
        <v>213806</v>
      </c>
      <c r="V670" s="35"/>
      <c r="W670" s="99">
        <f t="shared" si="995"/>
        <v>2105</v>
      </c>
      <c r="X670" s="100">
        <f t="shared" si="996"/>
        <v>57.249699999999997</v>
      </c>
      <c r="Y670" s="100">
        <f t="shared" si="997"/>
        <v>12.112500000000001</v>
      </c>
      <c r="Z670" s="22">
        <f t="shared" si="998"/>
        <v>8195</v>
      </c>
      <c r="AA670" s="35">
        <f t="shared" si="999"/>
        <v>0</v>
      </c>
      <c r="AB670" s="22">
        <f t="shared" si="957"/>
        <v>1</v>
      </c>
      <c r="AC670" s="118">
        <f>ROUND(I670+mwreg!$G$74/100,3)</f>
        <v>-1.032</v>
      </c>
      <c r="AD670" s="83">
        <f>ROUND(J670+mwreg!$G$74/100,3)</f>
        <v>1.6890000000000001</v>
      </c>
      <c r="AE670" s="83">
        <f>ROUND(K670+mwreg!$G$74/100,3)</f>
        <v>0.11899999999999999</v>
      </c>
      <c r="AF670" s="100">
        <f t="shared" si="927"/>
        <v>0.26679999999999998</v>
      </c>
      <c r="AG670" s="100">
        <f t="shared" si="928"/>
        <v>2.47E-2</v>
      </c>
      <c r="AH670" s="84">
        <f t="shared" si="1030"/>
        <v>2.6499999999999999E-2</v>
      </c>
      <c r="AI670" s="82">
        <f t="shared" si="1031"/>
        <v>180</v>
      </c>
      <c r="AJ670" s="82">
        <f t="shared" si="1032"/>
        <v>60</v>
      </c>
      <c r="AK670" s="83">
        <f t="shared" si="1033"/>
        <v>1E-3</v>
      </c>
      <c r="AL670" s="82">
        <f t="shared" si="1034"/>
        <v>3</v>
      </c>
      <c r="AM670" s="82">
        <f t="shared" si="1035"/>
        <v>1500</v>
      </c>
      <c r="AN670" s="83">
        <f t="shared" si="1036"/>
        <v>0.1</v>
      </c>
      <c r="AO670" s="188">
        <f t="shared" si="1056"/>
        <v>213806</v>
      </c>
    </row>
    <row r="671" spans="1:41" x14ac:dyDescent="0.2">
      <c r="A671" s="3" t="s">
        <v>296</v>
      </c>
      <c r="B671" s="3" t="s">
        <v>296</v>
      </c>
      <c r="C671" s="55">
        <v>2105</v>
      </c>
      <c r="D671" s="79">
        <v>57.249699999999997</v>
      </c>
      <c r="E671" s="79">
        <v>12.112500000000001</v>
      </c>
      <c r="F671" s="14">
        <v>8195</v>
      </c>
      <c r="G671" s="10">
        <v>0</v>
      </c>
      <c r="H671" s="122">
        <v>2</v>
      </c>
      <c r="I671" s="120">
        <v>-1.139</v>
      </c>
      <c r="J671" s="106">
        <v>1.27</v>
      </c>
      <c r="K671" s="106">
        <v>3.7999999999999999E-2</v>
      </c>
      <c r="L671" s="100">
        <v>0.28649999999999998</v>
      </c>
      <c r="M671" s="79">
        <v>3.1E-2</v>
      </c>
      <c r="N671" s="79">
        <v>3.3000000000000002E-2</v>
      </c>
      <c r="O671" s="14">
        <v>180</v>
      </c>
      <c r="P671" s="14">
        <v>60</v>
      </c>
      <c r="Q671" s="11">
        <v>1E-3</v>
      </c>
      <c r="R671" s="14">
        <v>3</v>
      </c>
      <c r="S671" s="14">
        <v>1500</v>
      </c>
      <c r="T671" s="11">
        <v>0.1</v>
      </c>
      <c r="U671" s="122">
        <v>198997</v>
      </c>
      <c r="V671" s="35"/>
      <c r="W671" s="99">
        <f t="shared" si="995"/>
        <v>2105</v>
      </c>
      <c r="X671" s="100">
        <f t="shared" si="996"/>
        <v>57.249699999999997</v>
      </c>
      <c r="Y671" s="100">
        <f t="shared" si="997"/>
        <v>12.112500000000001</v>
      </c>
      <c r="Z671" s="22">
        <f t="shared" si="998"/>
        <v>8195</v>
      </c>
      <c r="AA671" s="35">
        <f t="shared" si="999"/>
        <v>0</v>
      </c>
      <c r="AB671" s="22">
        <f t="shared" si="957"/>
        <v>2</v>
      </c>
      <c r="AC671" s="118">
        <f>ROUND(I671+mwreg!$G$74/100,3)</f>
        <v>-1.101</v>
      </c>
      <c r="AD671" s="83">
        <f>ROUND(J671+mwreg!$G$74/100,3)</f>
        <v>1.3080000000000001</v>
      </c>
      <c r="AE671" s="83">
        <f>ROUND(K671+mwreg!$G$74/100,3)</f>
        <v>7.5999999999999998E-2</v>
      </c>
      <c r="AF671" s="100">
        <f t="shared" si="927"/>
        <v>0.28649999999999998</v>
      </c>
      <c r="AG671" s="100">
        <f t="shared" si="928"/>
        <v>3.1E-2</v>
      </c>
      <c r="AH671" s="84">
        <f t="shared" si="1030"/>
        <v>3.3000000000000002E-2</v>
      </c>
      <c r="AI671" s="82">
        <f t="shared" si="1031"/>
        <v>180</v>
      </c>
      <c r="AJ671" s="82">
        <f t="shared" si="1032"/>
        <v>60</v>
      </c>
      <c r="AK671" s="83">
        <f t="shared" si="1033"/>
        <v>1E-3</v>
      </c>
      <c r="AL671" s="82">
        <f t="shared" si="1034"/>
        <v>3</v>
      </c>
      <c r="AM671" s="82">
        <f t="shared" si="1035"/>
        <v>1500</v>
      </c>
      <c r="AN671" s="83">
        <f t="shared" si="1036"/>
        <v>0.1</v>
      </c>
      <c r="AO671" s="188">
        <f t="shared" si="1056"/>
        <v>198997</v>
      </c>
    </row>
    <row r="672" spans="1:41" x14ac:dyDescent="0.2">
      <c r="A672" s="3" t="s">
        <v>296</v>
      </c>
      <c r="B672" s="3" t="s">
        <v>296</v>
      </c>
      <c r="C672" s="55">
        <v>2105</v>
      </c>
      <c r="D672" s="79">
        <v>57.249699999999997</v>
      </c>
      <c r="E672" s="79">
        <v>12.112500000000001</v>
      </c>
      <c r="F672" s="14">
        <v>8195</v>
      </c>
      <c r="G672" s="10">
        <v>0</v>
      </c>
      <c r="H672" s="122">
        <v>3</v>
      </c>
      <c r="I672" s="120">
        <v>-0.76600000000000001</v>
      </c>
      <c r="J672" s="106">
        <v>1.2270000000000001</v>
      </c>
      <c r="K672" s="106">
        <v>-5.0999999999999997E-2</v>
      </c>
      <c r="L672" s="100">
        <v>0.21490000000000001</v>
      </c>
      <c r="M672" s="79">
        <v>2.07E-2</v>
      </c>
      <c r="N672" s="79">
        <v>2.1999999999999999E-2</v>
      </c>
      <c r="O672" s="14">
        <v>180</v>
      </c>
      <c r="P672" s="14">
        <v>60</v>
      </c>
      <c r="Q672" s="11">
        <v>1E-3</v>
      </c>
      <c r="R672" s="14">
        <v>3</v>
      </c>
      <c r="S672" s="14">
        <v>1500</v>
      </c>
      <c r="T672" s="11">
        <v>0.1</v>
      </c>
      <c r="U672" s="122">
        <v>215283</v>
      </c>
      <c r="V672" s="35"/>
      <c r="W672" s="99">
        <f t="shared" si="995"/>
        <v>2105</v>
      </c>
      <c r="X672" s="100">
        <f t="shared" si="996"/>
        <v>57.249699999999997</v>
      </c>
      <c r="Y672" s="100">
        <f t="shared" si="997"/>
        <v>12.112500000000001</v>
      </c>
      <c r="Z672" s="22">
        <f t="shared" si="998"/>
        <v>8195</v>
      </c>
      <c r="AA672" s="35">
        <f t="shared" si="999"/>
        <v>0</v>
      </c>
      <c r="AB672" s="22">
        <f t="shared" si="957"/>
        <v>3</v>
      </c>
      <c r="AC672" s="118">
        <f>ROUND(I672+mwreg!$G$74/100,3)</f>
        <v>-0.72799999999999998</v>
      </c>
      <c r="AD672" s="83">
        <f>ROUND(J672+mwreg!$G$74/100,3)</f>
        <v>1.2649999999999999</v>
      </c>
      <c r="AE672" s="83">
        <f>ROUND(K672+mwreg!$G$74/100,3)</f>
        <v>-1.2999999999999999E-2</v>
      </c>
      <c r="AF672" s="100">
        <f t="shared" si="927"/>
        <v>0.21490000000000001</v>
      </c>
      <c r="AG672" s="100">
        <f t="shared" si="928"/>
        <v>2.07E-2</v>
      </c>
      <c r="AH672" s="84">
        <f t="shared" si="1030"/>
        <v>2.1999999999999999E-2</v>
      </c>
      <c r="AI672" s="82">
        <f t="shared" si="1031"/>
        <v>180</v>
      </c>
      <c r="AJ672" s="82">
        <f t="shared" si="1032"/>
        <v>60</v>
      </c>
      <c r="AK672" s="83">
        <f t="shared" si="1033"/>
        <v>1E-3</v>
      </c>
      <c r="AL672" s="82">
        <f t="shared" si="1034"/>
        <v>3</v>
      </c>
      <c r="AM672" s="82">
        <f t="shared" si="1035"/>
        <v>1500</v>
      </c>
      <c r="AN672" s="83">
        <f t="shared" si="1036"/>
        <v>0.1</v>
      </c>
      <c r="AO672" s="188">
        <f t="shared" si="1056"/>
        <v>215283</v>
      </c>
    </row>
    <row r="673" spans="1:41" x14ac:dyDescent="0.2">
      <c r="A673" s="3" t="s">
        <v>296</v>
      </c>
      <c r="B673" s="3" t="s">
        <v>296</v>
      </c>
      <c r="C673" s="55">
        <v>2105</v>
      </c>
      <c r="D673" s="79">
        <v>57.249699999999997</v>
      </c>
      <c r="E673" s="79">
        <v>12.112500000000001</v>
      </c>
      <c r="F673" s="14">
        <v>8195</v>
      </c>
      <c r="G673" s="10">
        <v>0</v>
      </c>
      <c r="H673" s="122">
        <v>4</v>
      </c>
      <c r="I673" s="120">
        <v>-0.67</v>
      </c>
      <c r="J673" s="106">
        <v>0.83099999999999996</v>
      </c>
      <c r="K673" s="106">
        <v>-8.6999999999999994E-2</v>
      </c>
      <c r="L673" s="100">
        <v>0.14729999999999999</v>
      </c>
      <c r="M673" s="79">
        <v>2.92E-2</v>
      </c>
      <c r="N673" s="79">
        <v>3.0499999999999999E-2</v>
      </c>
      <c r="O673" s="14">
        <v>180</v>
      </c>
      <c r="P673" s="14">
        <v>60</v>
      </c>
      <c r="Q673" s="11">
        <v>1E-3</v>
      </c>
      <c r="R673" s="14">
        <v>3</v>
      </c>
      <c r="S673" s="14">
        <v>1500</v>
      </c>
      <c r="T673" s="11">
        <v>0.1</v>
      </c>
      <c r="U673" s="122">
        <v>238932</v>
      </c>
      <c r="V673" s="35"/>
      <c r="W673" s="99">
        <f t="shared" si="995"/>
        <v>2105</v>
      </c>
      <c r="X673" s="100">
        <f t="shared" si="996"/>
        <v>57.249699999999997</v>
      </c>
      <c r="Y673" s="100">
        <f t="shared" si="997"/>
        <v>12.112500000000001</v>
      </c>
      <c r="Z673" s="22">
        <f t="shared" si="998"/>
        <v>8195</v>
      </c>
      <c r="AA673" s="35">
        <f t="shared" si="999"/>
        <v>0</v>
      </c>
      <c r="AB673" s="22">
        <f t="shared" si="957"/>
        <v>4</v>
      </c>
      <c r="AC673" s="118">
        <f>ROUND(I673+mwreg!$G$74/100,3)</f>
        <v>-0.63200000000000001</v>
      </c>
      <c r="AD673" s="83">
        <f>ROUND(J673+mwreg!$G$74/100,3)</f>
        <v>0.86899999999999999</v>
      </c>
      <c r="AE673" s="83">
        <f>ROUND(K673+mwreg!$G$74/100,3)</f>
        <v>-4.9000000000000002E-2</v>
      </c>
      <c r="AF673" s="100">
        <f t="shared" si="927"/>
        <v>0.14729999999999999</v>
      </c>
      <c r="AG673" s="100">
        <f t="shared" si="928"/>
        <v>2.92E-2</v>
      </c>
      <c r="AH673" s="84">
        <f t="shared" si="1030"/>
        <v>3.0499999999999999E-2</v>
      </c>
      <c r="AI673" s="82">
        <f t="shared" si="1031"/>
        <v>180</v>
      </c>
      <c r="AJ673" s="82">
        <f t="shared" si="1032"/>
        <v>60</v>
      </c>
      <c r="AK673" s="83">
        <f t="shared" si="1033"/>
        <v>1E-3</v>
      </c>
      <c r="AL673" s="82">
        <f t="shared" si="1034"/>
        <v>3</v>
      </c>
      <c r="AM673" s="82">
        <f t="shared" si="1035"/>
        <v>1500</v>
      </c>
      <c r="AN673" s="83">
        <f t="shared" si="1036"/>
        <v>0.1</v>
      </c>
      <c r="AO673" s="188">
        <f t="shared" si="1056"/>
        <v>238932</v>
      </c>
    </row>
    <row r="674" spans="1:41" x14ac:dyDescent="0.2">
      <c r="A674" s="3" t="s">
        <v>296</v>
      </c>
      <c r="B674" s="3" t="s">
        <v>296</v>
      </c>
      <c r="C674" s="55">
        <v>2105</v>
      </c>
      <c r="D674" s="79">
        <v>57.249699999999997</v>
      </c>
      <c r="E674" s="79">
        <v>12.112500000000001</v>
      </c>
      <c r="F674" s="14">
        <v>8195</v>
      </c>
      <c r="G674" s="10">
        <v>0</v>
      </c>
      <c r="H674" s="122">
        <v>5</v>
      </c>
      <c r="I674" s="120">
        <v>-0.54600000000000004</v>
      </c>
      <c r="J674" s="106">
        <v>0.61799999999999999</v>
      </c>
      <c r="K674" s="106">
        <v>-5.7000000000000002E-2</v>
      </c>
      <c r="L674" s="100">
        <v>0.1298</v>
      </c>
      <c r="M674" s="79">
        <v>2.5700000000000001E-2</v>
      </c>
      <c r="N674" s="79">
        <v>2.7E-2</v>
      </c>
      <c r="O674" s="14">
        <v>180</v>
      </c>
      <c r="P674" s="14">
        <v>60</v>
      </c>
      <c r="Q674" s="11">
        <v>1E-3</v>
      </c>
      <c r="R674" s="14">
        <v>3</v>
      </c>
      <c r="S674" s="14">
        <v>1500</v>
      </c>
      <c r="T674" s="11">
        <v>0.1</v>
      </c>
      <c r="U674" s="122">
        <v>254078</v>
      </c>
      <c r="V674" s="35"/>
      <c r="W674" s="99">
        <f t="shared" si="995"/>
        <v>2105</v>
      </c>
      <c r="X674" s="100">
        <f t="shared" si="996"/>
        <v>57.249699999999997</v>
      </c>
      <c r="Y674" s="100">
        <f t="shared" si="997"/>
        <v>12.112500000000001</v>
      </c>
      <c r="Z674" s="22">
        <f t="shared" si="998"/>
        <v>8195</v>
      </c>
      <c r="AA674" s="35">
        <f t="shared" si="999"/>
        <v>0</v>
      </c>
      <c r="AB674" s="22">
        <f t="shared" si="957"/>
        <v>5</v>
      </c>
      <c r="AC674" s="118">
        <f>ROUND(I674+mwreg!$G$74/100,3)</f>
        <v>-0.50800000000000001</v>
      </c>
      <c r="AD674" s="83">
        <f>ROUND(J674+mwreg!$G$74/100,3)</f>
        <v>0.65600000000000003</v>
      </c>
      <c r="AE674" s="83">
        <f>ROUND(K674+mwreg!$G$74/100,3)</f>
        <v>-1.9E-2</v>
      </c>
      <c r="AF674" s="100">
        <f t="shared" si="927"/>
        <v>0.1298</v>
      </c>
      <c r="AG674" s="100">
        <f t="shared" si="928"/>
        <v>2.5700000000000001E-2</v>
      </c>
      <c r="AH674" s="84">
        <f t="shared" si="1030"/>
        <v>2.7E-2</v>
      </c>
      <c r="AI674" s="82">
        <f t="shared" si="1031"/>
        <v>180</v>
      </c>
      <c r="AJ674" s="82">
        <f t="shared" si="1032"/>
        <v>60</v>
      </c>
      <c r="AK674" s="83">
        <f t="shared" si="1033"/>
        <v>1E-3</v>
      </c>
      <c r="AL674" s="82">
        <f t="shared" si="1034"/>
        <v>3</v>
      </c>
      <c r="AM674" s="82">
        <f t="shared" si="1035"/>
        <v>1500</v>
      </c>
      <c r="AN674" s="83">
        <f t="shared" si="1036"/>
        <v>0.1</v>
      </c>
      <c r="AO674" s="188">
        <f t="shared" si="1056"/>
        <v>254078</v>
      </c>
    </row>
    <row r="675" spans="1:41" x14ac:dyDescent="0.2">
      <c r="A675" s="3" t="s">
        <v>296</v>
      </c>
      <c r="B675" s="3" t="s">
        <v>296</v>
      </c>
      <c r="C675" s="55">
        <v>2105</v>
      </c>
      <c r="D675" s="79">
        <v>57.249699999999997</v>
      </c>
      <c r="E675" s="79">
        <v>12.112500000000001</v>
      </c>
      <c r="F675" s="14">
        <v>8195</v>
      </c>
      <c r="G675" s="10">
        <v>0</v>
      </c>
      <c r="H675" s="122">
        <v>6</v>
      </c>
      <c r="I675" s="120">
        <v>-0.42299999999999999</v>
      </c>
      <c r="J675" s="106">
        <v>0.71899999999999997</v>
      </c>
      <c r="K675" s="106">
        <v>-0.01</v>
      </c>
      <c r="L675" s="100">
        <v>0.1192</v>
      </c>
      <c r="M675" s="79">
        <v>5.8700000000000002E-2</v>
      </c>
      <c r="N675" s="79">
        <v>0.06</v>
      </c>
      <c r="O675" s="14">
        <v>180</v>
      </c>
      <c r="P675" s="14">
        <v>60</v>
      </c>
      <c r="Q675" s="11">
        <v>1E-3</v>
      </c>
      <c r="R675" s="14">
        <v>3</v>
      </c>
      <c r="S675" s="14">
        <v>1500</v>
      </c>
      <c r="T675" s="11">
        <v>0.1</v>
      </c>
      <c r="U675" s="122">
        <v>247447</v>
      </c>
      <c r="V675" s="35"/>
      <c r="W675" s="99">
        <f t="shared" si="995"/>
        <v>2105</v>
      </c>
      <c r="X675" s="100">
        <f t="shared" si="996"/>
        <v>57.249699999999997</v>
      </c>
      <c r="Y675" s="100">
        <f t="shared" si="997"/>
        <v>12.112500000000001</v>
      </c>
      <c r="Z675" s="22">
        <f t="shared" si="998"/>
        <v>8195</v>
      </c>
      <c r="AA675" s="35">
        <f t="shared" si="999"/>
        <v>0</v>
      </c>
      <c r="AB675" s="22">
        <f t="shared" si="957"/>
        <v>6</v>
      </c>
      <c r="AC675" s="118">
        <f>ROUND(I675+mwreg!$G$74/100,3)</f>
        <v>-0.38500000000000001</v>
      </c>
      <c r="AD675" s="83">
        <f>ROUND(J675+mwreg!$G$74/100,3)</f>
        <v>0.75700000000000001</v>
      </c>
      <c r="AE675" s="83">
        <f>ROUND(K675+mwreg!$G$74/100,3)</f>
        <v>2.8000000000000001E-2</v>
      </c>
      <c r="AF675" s="100">
        <f t="shared" ref="AF675:AF717" si="1071">L675</f>
        <v>0.1192</v>
      </c>
      <c r="AG675" s="100">
        <f t="shared" ref="AG675:AG717" si="1072">M675</f>
        <v>5.8700000000000002E-2</v>
      </c>
      <c r="AH675" s="84">
        <f t="shared" si="1030"/>
        <v>0.06</v>
      </c>
      <c r="AI675" s="82">
        <f t="shared" si="1031"/>
        <v>180</v>
      </c>
      <c r="AJ675" s="82">
        <f t="shared" si="1032"/>
        <v>60</v>
      </c>
      <c r="AK675" s="83">
        <f t="shared" si="1033"/>
        <v>1E-3</v>
      </c>
      <c r="AL675" s="82">
        <f t="shared" si="1034"/>
        <v>3</v>
      </c>
      <c r="AM675" s="82">
        <f t="shared" si="1035"/>
        <v>1500</v>
      </c>
      <c r="AN675" s="83">
        <f t="shared" si="1036"/>
        <v>0.1</v>
      </c>
      <c r="AO675" s="188">
        <f t="shared" si="1056"/>
        <v>247447</v>
      </c>
    </row>
    <row r="676" spans="1:41" x14ac:dyDescent="0.2">
      <c r="A676" s="3" t="s">
        <v>296</v>
      </c>
      <c r="B676" s="3" t="s">
        <v>296</v>
      </c>
      <c r="C676" s="55">
        <v>2105</v>
      </c>
      <c r="D676" s="79">
        <v>57.249699999999997</v>
      </c>
      <c r="E676" s="79">
        <v>12.112500000000001</v>
      </c>
      <c r="F676" s="14">
        <v>8195</v>
      </c>
      <c r="G676" s="10">
        <v>0</v>
      </c>
      <c r="H676" s="122">
        <v>7</v>
      </c>
      <c r="I676" s="120">
        <v>-0.33900000000000002</v>
      </c>
      <c r="J676" s="106">
        <v>0.75900000000000001</v>
      </c>
      <c r="K676" s="106">
        <v>6.7000000000000004E-2</v>
      </c>
      <c r="L676" s="100">
        <v>0.1235</v>
      </c>
      <c r="M676" s="79">
        <v>8.8999999999999999E-3</v>
      </c>
      <c r="N676" s="79">
        <v>0.01</v>
      </c>
      <c r="O676" s="14">
        <v>180</v>
      </c>
      <c r="P676" s="14">
        <v>60</v>
      </c>
      <c r="Q676" s="11">
        <v>1E-3</v>
      </c>
      <c r="R676" s="14">
        <v>3</v>
      </c>
      <c r="S676" s="14">
        <v>1500</v>
      </c>
      <c r="T676" s="11">
        <v>0.1</v>
      </c>
      <c r="U676" s="122">
        <v>257452</v>
      </c>
      <c r="V676" s="35"/>
      <c r="W676" s="99">
        <f t="shared" si="995"/>
        <v>2105</v>
      </c>
      <c r="X676" s="100">
        <f t="shared" si="996"/>
        <v>57.249699999999997</v>
      </c>
      <c r="Y676" s="100">
        <f t="shared" si="997"/>
        <v>12.112500000000001</v>
      </c>
      <c r="Z676" s="22">
        <f t="shared" si="998"/>
        <v>8195</v>
      </c>
      <c r="AA676" s="35">
        <f t="shared" si="999"/>
        <v>0</v>
      </c>
      <c r="AB676" s="22">
        <f t="shared" si="957"/>
        <v>7</v>
      </c>
      <c r="AC676" s="118">
        <f>ROUND(I676+mwreg!$G$74/100,3)</f>
        <v>-0.30099999999999999</v>
      </c>
      <c r="AD676" s="83">
        <f>ROUND(J676+mwreg!$G$74/100,3)</f>
        <v>0.79700000000000004</v>
      </c>
      <c r="AE676" s="83">
        <f>ROUND(K676+mwreg!$G$74/100,3)</f>
        <v>0.105</v>
      </c>
      <c r="AF676" s="100">
        <f t="shared" si="1071"/>
        <v>0.1235</v>
      </c>
      <c r="AG676" s="100">
        <f t="shared" si="1072"/>
        <v>8.8999999999999999E-3</v>
      </c>
      <c r="AH676" s="84">
        <f t="shared" si="1030"/>
        <v>0.01</v>
      </c>
      <c r="AI676" s="82">
        <f t="shared" si="1031"/>
        <v>180</v>
      </c>
      <c r="AJ676" s="82">
        <f t="shared" si="1032"/>
        <v>60</v>
      </c>
      <c r="AK676" s="83">
        <f t="shared" si="1033"/>
        <v>1E-3</v>
      </c>
      <c r="AL676" s="82">
        <f t="shared" si="1034"/>
        <v>3</v>
      </c>
      <c r="AM676" s="82">
        <f t="shared" si="1035"/>
        <v>1500</v>
      </c>
      <c r="AN676" s="83">
        <f t="shared" si="1036"/>
        <v>0.1</v>
      </c>
      <c r="AO676" s="188">
        <f t="shared" si="1056"/>
        <v>257452</v>
      </c>
    </row>
    <row r="677" spans="1:41" x14ac:dyDescent="0.2">
      <c r="A677" s="3" t="s">
        <v>296</v>
      </c>
      <c r="B677" s="3" t="s">
        <v>296</v>
      </c>
      <c r="C677" s="55">
        <v>2105</v>
      </c>
      <c r="D677" s="79">
        <v>57.249699999999997</v>
      </c>
      <c r="E677" s="79">
        <v>12.112500000000001</v>
      </c>
      <c r="F677" s="14">
        <v>8195</v>
      </c>
      <c r="G677" s="10">
        <v>0</v>
      </c>
      <c r="H677" s="122">
        <v>8</v>
      </c>
      <c r="I677" s="120">
        <v>-0.32</v>
      </c>
      <c r="J677" s="106">
        <v>0.96</v>
      </c>
      <c r="K677" s="106">
        <v>7.1999999999999995E-2</v>
      </c>
      <c r="L677" s="100">
        <v>0.1216</v>
      </c>
      <c r="M677" s="79">
        <v>2.07E-2</v>
      </c>
      <c r="N677" s="79">
        <v>2.1999999999999999E-2</v>
      </c>
      <c r="O677" s="14">
        <v>180</v>
      </c>
      <c r="P677" s="14">
        <v>60</v>
      </c>
      <c r="Q677" s="11">
        <v>1E-3</v>
      </c>
      <c r="R677" s="14">
        <v>3</v>
      </c>
      <c r="S677" s="14">
        <v>1500</v>
      </c>
      <c r="T677" s="11">
        <v>0.1</v>
      </c>
      <c r="U677" s="122">
        <v>257735</v>
      </c>
      <c r="V677" s="35"/>
      <c r="W677" s="99">
        <f t="shared" si="995"/>
        <v>2105</v>
      </c>
      <c r="X677" s="100">
        <f t="shared" si="996"/>
        <v>57.249699999999997</v>
      </c>
      <c r="Y677" s="100">
        <f t="shared" si="997"/>
        <v>12.112500000000001</v>
      </c>
      <c r="Z677" s="22">
        <f t="shared" si="998"/>
        <v>8195</v>
      </c>
      <c r="AA677" s="35">
        <f t="shared" si="999"/>
        <v>0</v>
      </c>
      <c r="AB677" s="22">
        <f t="shared" si="957"/>
        <v>8</v>
      </c>
      <c r="AC677" s="118">
        <f>ROUND(I677+mwreg!$G$74/100,3)</f>
        <v>-0.28199999999999997</v>
      </c>
      <c r="AD677" s="83">
        <f>ROUND(J677+mwreg!$G$74/100,3)</f>
        <v>0.998</v>
      </c>
      <c r="AE677" s="83">
        <f>ROUND(K677+mwreg!$G$74/100,3)</f>
        <v>0.11</v>
      </c>
      <c r="AF677" s="100">
        <f t="shared" si="1071"/>
        <v>0.1216</v>
      </c>
      <c r="AG677" s="100">
        <f t="shared" si="1072"/>
        <v>2.07E-2</v>
      </c>
      <c r="AH677" s="84">
        <f t="shared" si="1030"/>
        <v>2.1999999999999999E-2</v>
      </c>
      <c r="AI677" s="82">
        <f t="shared" si="1031"/>
        <v>180</v>
      </c>
      <c r="AJ677" s="82">
        <f t="shared" si="1032"/>
        <v>60</v>
      </c>
      <c r="AK677" s="83">
        <f t="shared" si="1033"/>
        <v>1E-3</v>
      </c>
      <c r="AL677" s="82">
        <f t="shared" si="1034"/>
        <v>3</v>
      </c>
      <c r="AM677" s="82">
        <f t="shared" si="1035"/>
        <v>1500</v>
      </c>
      <c r="AN677" s="83">
        <f t="shared" si="1036"/>
        <v>0.1</v>
      </c>
      <c r="AO677" s="188">
        <f t="shared" si="1056"/>
        <v>257735</v>
      </c>
    </row>
    <row r="678" spans="1:41" x14ac:dyDescent="0.2">
      <c r="A678" s="3" t="s">
        <v>296</v>
      </c>
      <c r="B678" s="3" t="s">
        <v>296</v>
      </c>
      <c r="C678" s="55">
        <v>2105</v>
      </c>
      <c r="D678" s="79">
        <v>57.249699999999997</v>
      </c>
      <c r="E678" s="79">
        <v>12.112500000000001</v>
      </c>
      <c r="F678" s="14">
        <v>8195</v>
      </c>
      <c r="G678" s="10">
        <v>0</v>
      </c>
      <c r="H678" s="122">
        <v>9</v>
      </c>
      <c r="I678" s="120">
        <v>-0.433</v>
      </c>
      <c r="J678" s="106">
        <v>1.1779999999999999</v>
      </c>
      <c r="K678" s="106">
        <v>9.1999999999999998E-2</v>
      </c>
      <c r="L678" s="100">
        <v>0.16700000000000001</v>
      </c>
      <c r="M678" s="79">
        <v>2.7799999999999998E-2</v>
      </c>
      <c r="N678" s="79">
        <v>2.9000000000000001E-2</v>
      </c>
      <c r="O678" s="14">
        <v>180</v>
      </c>
      <c r="P678" s="14">
        <v>60</v>
      </c>
      <c r="Q678" s="11">
        <v>1E-3</v>
      </c>
      <c r="R678" s="14">
        <v>3</v>
      </c>
      <c r="S678" s="14">
        <v>1500</v>
      </c>
      <c r="T678" s="11">
        <v>0.1</v>
      </c>
      <c r="U678" s="122">
        <v>251457</v>
      </c>
      <c r="V678" s="35"/>
      <c r="W678" s="99">
        <f t="shared" si="995"/>
        <v>2105</v>
      </c>
      <c r="X678" s="100">
        <f t="shared" si="996"/>
        <v>57.249699999999997</v>
      </c>
      <c r="Y678" s="100">
        <f t="shared" si="997"/>
        <v>12.112500000000001</v>
      </c>
      <c r="Z678" s="22">
        <f t="shared" si="998"/>
        <v>8195</v>
      </c>
      <c r="AA678" s="35">
        <f t="shared" si="999"/>
        <v>0</v>
      </c>
      <c r="AB678" s="22">
        <f t="shared" si="957"/>
        <v>9</v>
      </c>
      <c r="AC678" s="118">
        <f>ROUND(I678+mwreg!$G$74/100,3)</f>
        <v>-0.39500000000000002</v>
      </c>
      <c r="AD678" s="83">
        <f>ROUND(J678+mwreg!$G$74/100,3)</f>
        <v>1.216</v>
      </c>
      <c r="AE678" s="83">
        <f>ROUND(K678+mwreg!$G$74/100,3)</f>
        <v>0.13</v>
      </c>
      <c r="AF678" s="100">
        <f t="shared" si="1071"/>
        <v>0.16700000000000001</v>
      </c>
      <c r="AG678" s="100">
        <f t="shared" si="1072"/>
        <v>2.7799999999999998E-2</v>
      </c>
      <c r="AH678" s="84">
        <f t="shared" si="1030"/>
        <v>2.9000000000000001E-2</v>
      </c>
      <c r="AI678" s="82">
        <f t="shared" si="1031"/>
        <v>180</v>
      </c>
      <c r="AJ678" s="82">
        <f t="shared" si="1032"/>
        <v>60</v>
      </c>
      <c r="AK678" s="83">
        <f t="shared" si="1033"/>
        <v>1E-3</v>
      </c>
      <c r="AL678" s="82">
        <f t="shared" si="1034"/>
        <v>3</v>
      </c>
      <c r="AM678" s="82">
        <f t="shared" si="1035"/>
        <v>1500</v>
      </c>
      <c r="AN678" s="83">
        <f t="shared" si="1036"/>
        <v>0.1</v>
      </c>
      <c r="AO678" s="188">
        <f t="shared" si="1056"/>
        <v>251457</v>
      </c>
    </row>
    <row r="679" spans="1:41" x14ac:dyDescent="0.2">
      <c r="A679" s="3" t="s">
        <v>296</v>
      </c>
      <c r="B679" s="3" t="s">
        <v>296</v>
      </c>
      <c r="C679" s="55">
        <v>2105</v>
      </c>
      <c r="D679" s="79">
        <v>57.249699999999997</v>
      </c>
      <c r="E679" s="79">
        <v>12.112500000000001</v>
      </c>
      <c r="F679" s="14">
        <v>8195</v>
      </c>
      <c r="G679" s="10">
        <v>0</v>
      </c>
      <c r="H679" s="122">
        <v>10</v>
      </c>
      <c r="I679" s="120">
        <v>-0.67700000000000005</v>
      </c>
      <c r="J679" s="106">
        <v>1.3069999999999999</v>
      </c>
      <c r="K679" s="106">
        <v>8.1000000000000003E-2</v>
      </c>
      <c r="L679" s="100">
        <v>0.19189999999999999</v>
      </c>
      <c r="M679" s="79">
        <v>2.1700000000000001E-2</v>
      </c>
      <c r="N679" s="79">
        <v>2.3E-2</v>
      </c>
      <c r="O679" s="14">
        <v>180</v>
      </c>
      <c r="P679" s="14">
        <v>60</v>
      </c>
      <c r="Q679" s="11">
        <v>1E-3</v>
      </c>
      <c r="R679" s="14">
        <v>3</v>
      </c>
      <c r="S679" s="14">
        <v>1500</v>
      </c>
      <c r="T679" s="11">
        <v>0.1</v>
      </c>
      <c r="U679" s="122">
        <v>262037</v>
      </c>
      <c r="V679" s="35"/>
      <c r="W679" s="99">
        <f t="shared" si="995"/>
        <v>2105</v>
      </c>
      <c r="X679" s="100">
        <f t="shared" si="996"/>
        <v>57.249699999999997</v>
      </c>
      <c r="Y679" s="100">
        <f t="shared" si="997"/>
        <v>12.112500000000001</v>
      </c>
      <c r="Z679" s="22">
        <f t="shared" si="998"/>
        <v>8195</v>
      </c>
      <c r="AA679" s="35">
        <f t="shared" si="999"/>
        <v>0</v>
      </c>
      <c r="AB679" s="22">
        <f t="shared" si="957"/>
        <v>10</v>
      </c>
      <c r="AC679" s="118">
        <f>ROUND(I679+mwreg!$G$74/100,3)</f>
        <v>-0.63900000000000001</v>
      </c>
      <c r="AD679" s="83">
        <f>ROUND(J679+mwreg!$G$74/100,3)</f>
        <v>1.345</v>
      </c>
      <c r="AE679" s="83">
        <f>ROUND(K679+mwreg!$G$74/100,3)</f>
        <v>0.11899999999999999</v>
      </c>
      <c r="AF679" s="100">
        <f t="shared" si="1071"/>
        <v>0.19189999999999999</v>
      </c>
      <c r="AG679" s="100">
        <f t="shared" si="1072"/>
        <v>2.1700000000000001E-2</v>
      </c>
      <c r="AH679" s="84">
        <f t="shared" si="1030"/>
        <v>2.3E-2</v>
      </c>
      <c r="AI679" s="82">
        <f t="shared" si="1031"/>
        <v>180</v>
      </c>
      <c r="AJ679" s="82">
        <f t="shared" si="1032"/>
        <v>60</v>
      </c>
      <c r="AK679" s="83">
        <f t="shared" si="1033"/>
        <v>1E-3</v>
      </c>
      <c r="AL679" s="82">
        <f t="shared" si="1034"/>
        <v>3</v>
      </c>
      <c r="AM679" s="82">
        <f t="shared" si="1035"/>
        <v>1500</v>
      </c>
      <c r="AN679" s="83">
        <f t="shared" si="1036"/>
        <v>0.1</v>
      </c>
      <c r="AO679" s="188">
        <f t="shared" si="1056"/>
        <v>262037</v>
      </c>
    </row>
    <row r="680" spans="1:41" x14ac:dyDescent="0.2">
      <c r="A680" s="3" t="s">
        <v>296</v>
      </c>
      <c r="B680" s="3" t="s">
        <v>296</v>
      </c>
      <c r="C680" s="55">
        <v>2105</v>
      </c>
      <c r="D680" s="79">
        <v>57.249699999999997</v>
      </c>
      <c r="E680" s="79">
        <v>12.112500000000001</v>
      </c>
      <c r="F680" s="14">
        <v>8195</v>
      </c>
      <c r="G680" s="10">
        <v>0</v>
      </c>
      <c r="H680" s="122">
        <v>11</v>
      </c>
      <c r="I680" s="120">
        <v>-0.86</v>
      </c>
      <c r="J680" s="106">
        <v>1.2949999999999999</v>
      </c>
      <c r="K680" s="106">
        <v>8.5999999999999993E-2</v>
      </c>
      <c r="L680" s="100">
        <v>0.21609999999999999</v>
      </c>
      <c r="M680" s="79">
        <v>2.1399999999999999E-2</v>
      </c>
      <c r="N680" s="79">
        <v>2.29E-2</v>
      </c>
      <c r="O680" s="14">
        <v>180</v>
      </c>
      <c r="P680" s="14">
        <v>60</v>
      </c>
      <c r="Q680" s="11">
        <v>1E-3</v>
      </c>
      <c r="R680" s="14">
        <v>3</v>
      </c>
      <c r="S680" s="14">
        <v>1500</v>
      </c>
      <c r="T680" s="11">
        <v>0.1</v>
      </c>
      <c r="U680" s="122">
        <v>252162</v>
      </c>
      <c r="V680" s="35"/>
      <c r="W680" s="99">
        <f t="shared" si="995"/>
        <v>2105</v>
      </c>
      <c r="X680" s="100">
        <f t="shared" si="996"/>
        <v>57.249699999999997</v>
      </c>
      <c r="Y680" s="100">
        <f t="shared" si="997"/>
        <v>12.112500000000001</v>
      </c>
      <c r="Z680" s="22">
        <f t="shared" si="998"/>
        <v>8195</v>
      </c>
      <c r="AA680" s="35">
        <f t="shared" si="999"/>
        <v>0</v>
      </c>
      <c r="AB680" s="22">
        <f t="shared" si="957"/>
        <v>11</v>
      </c>
      <c r="AC680" s="118">
        <f>ROUND(I680+mwreg!$G$74/100,3)</f>
        <v>-0.82199999999999995</v>
      </c>
      <c r="AD680" s="83">
        <f>ROUND(J680+mwreg!$G$74/100,3)</f>
        <v>1.333</v>
      </c>
      <c r="AE680" s="83">
        <f>ROUND(K680+mwreg!$G$74/100,3)</f>
        <v>0.124</v>
      </c>
      <c r="AF680" s="100">
        <f t="shared" si="1071"/>
        <v>0.21609999999999999</v>
      </c>
      <c r="AG680" s="100">
        <f t="shared" si="1072"/>
        <v>2.1399999999999999E-2</v>
      </c>
      <c r="AH680" s="84">
        <f t="shared" si="1030"/>
        <v>2.29E-2</v>
      </c>
      <c r="AI680" s="82">
        <f t="shared" si="1031"/>
        <v>180</v>
      </c>
      <c r="AJ680" s="82">
        <f t="shared" si="1032"/>
        <v>60</v>
      </c>
      <c r="AK680" s="83">
        <f t="shared" si="1033"/>
        <v>1E-3</v>
      </c>
      <c r="AL680" s="82">
        <f t="shared" si="1034"/>
        <v>3</v>
      </c>
      <c r="AM680" s="82">
        <f t="shared" si="1035"/>
        <v>1500</v>
      </c>
      <c r="AN680" s="83">
        <f t="shared" si="1036"/>
        <v>0.1</v>
      </c>
      <c r="AO680" s="188">
        <f t="shared" si="1056"/>
        <v>252162</v>
      </c>
    </row>
    <row r="681" spans="1:41" x14ac:dyDescent="0.2">
      <c r="A681" s="3" t="s">
        <v>296</v>
      </c>
      <c r="B681" s="3" t="s">
        <v>296</v>
      </c>
      <c r="C681" s="55">
        <v>2105</v>
      </c>
      <c r="D681" s="79">
        <v>57.249699999999997</v>
      </c>
      <c r="E681" s="79">
        <v>12.112500000000001</v>
      </c>
      <c r="F681" s="14">
        <v>8195</v>
      </c>
      <c r="G681" s="10">
        <v>0</v>
      </c>
      <c r="H681" s="122">
        <v>12</v>
      </c>
      <c r="I681" s="120">
        <v>-0.878</v>
      </c>
      <c r="J681" s="106">
        <v>1.466</v>
      </c>
      <c r="K681" s="106">
        <v>0.114</v>
      </c>
      <c r="L681" s="100">
        <v>0.2447</v>
      </c>
      <c r="M681" s="79">
        <v>2.7300000000000001E-2</v>
      </c>
      <c r="N681" s="79">
        <v>2.9000000000000001E-2</v>
      </c>
      <c r="O681" s="14">
        <v>180</v>
      </c>
      <c r="P681" s="14">
        <v>60</v>
      </c>
      <c r="Q681" s="11">
        <v>1E-3</v>
      </c>
      <c r="R681" s="14">
        <v>3</v>
      </c>
      <c r="S681" s="14">
        <v>1500</v>
      </c>
      <c r="T681" s="11">
        <v>0.1</v>
      </c>
      <c r="U681" s="122">
        <v>222914</v>
      </c>
      <c r="V681" s="35"/>
      <c r="W681" s="99">
        <f t="shared" si="995"/>
        <v>2105</v>
      </c>
      <c r="X681" s="100">
        <f t="shared" si="996"/>
        <v>57.249699999999997</v>
      </c>
      <c r="Y681" s="100">
        <f t="shared" si="997"/>
        <v>12.112500000000001</v>
      </c>
      <c r="Z681" s="22">
        <f t="shared" si="998"/>
        <v>8195</v>
      </c>
      <c r="AA681" s="35">
        <f t="shared" si="999"/>
        <v>0</v>
      </c>
      <c r="AB681" s="22">
        <f t="shared" si="957"/>
        <v>12</v>
      </c>
      <c r="AC681" s="118">
        <f>ROUND(I681+mwreg!$G$74/100,3)</f>
        <v>-0.84</v>
      </c>
      <c r="AD681" s="83">
        <f>ROUND(J681+mwreg!$G$74/100,3)</f>
        <v>1.504</v>
      </c>
      <c r="AE681" s="83">
        <f>ROUND(K681+mwreg!$G$74/100,3)</f>
        <v>0.152</v>
      </c>
      <c r="AF681" s="100">
        <f t="shared" si="1071"/>
        <v>0.2447</v>
      </c>
      <c r="AG681" s="100">
        <f t="shared" si="1072"/>
        <v>2.7300000000000001E-2</v>
      </c>
      <c r="AH681" s="84">
        <f t="shared" si="1030"/>
        <v>2.9000000000000001E-2</v>
      </c>
      <c r="AI681" s="82">
        <f t="shared" si="1031"/>
        <v>180</v>
      </c>
      <c r="AJ681" s="82">
        <f t="shared" si="1032"/>
        <v>60</v>
      </c>
      <c r="AK681" s="83">
        <f t="shared" si="1033"/>
        <v>1E-3</v>
      </c>
      <c r="AL681" s="82">
        <f t="shared" si="1034"/>
        <v>3</v>
      </c>
      <c r="AM681" s="82">
        <f t="shared" si="1035"/>
        <v>1500</v>
      </c>
      <c r="AN681" s="83">
        <f t="shared" si="1036"/>
        <v>0.1</v>
      </c>
      <c r="AO681" s="188">
        <f t="shared" si="1056"/>
        <v>222914</v>
      </c>
    </row>
    <row r="682" spans="1:41" x14ac:dyDescent="0.2">
      <c r="A682" s="3" t="str">
        <f>stat_uppg!A65</f>
        <v>2544/33084</v>
      </c>
      <c r="B682" s="3" t="str">
        <f>stat_uppg!B65</f>
        <v>ONSALA (CTH)</v>
      </c>
      <c r="C682" s="52">
        <v>33084</v>
      </c>
      <c r="D682" s="105">
        <v>57.392000000000003</v>
      </c>
      <c r="E682" s="105">
        <v>11.919</v>
      </c>
      <c r="F682" s="20">
        <v>8195</v>
      </c>
      <c r="G682" s="18">
        <v>0</v>
      </c>
      <c r="H682" s="53">
        <v>1</v>
      </c>
      <c r="I682" s="121">
        <f t="shared" ref="I682:K693" si="1073">ROUND(0.724*I670+0.276*I718,3)</f>
        <v>-1.0820000000000001</v>
      </c>
      <c r="J682" s="101">
        <f t="shared" si="1073"/>
        <v>1.607</v>
      </c>
      <c r="K682" s="101">
        <f t="shared" si="1073"/>
        <v>7.8E-2</v>
      </c>
      <c r="L682" s="102">
        <f t="shared" ref="L682:L693" si="1074">ROUND(0.724*L670+0.276*L718,4)</f>
        <v>0.26790000000000003</v>
      </c>
      <c r="M682" s="102" t="s">
        <v>282</v>
      </c>
      <c r="N682" s="102" t="s">
        <v>282</v>
      </c>
      <c r="O682" s="21">
        <f>ROUND(0.724*O670+0.276*O718,0)</f>
        <v>180</v>
      </c>
      <c r="P682" s="21">
        <f>ROUND(0.724*P670+0.276*P718,0)</f>
        <v>60</v>
      </c>
      <c r="Q682" s="101">
        <f>ROUND(0.724*Q670+0.276*Q718,3)</f>
        <v>1E-3</v>
      </c>
      <c r="R682" s="21">
        <f>ROUND(0.724*R670+0.276*R718,0)</f>
        <v>3</v>
      </c>
      <c r="S682" s="21">
        <f>ROUND(0.724*S670+0.276*S718,0)</f>
        <v>1500</v>
      </c>
      <c r="T682" s="101">
        <f>ROUND(0.724*T670+0.276*T718,3)</f>
        <v>0.1</v>
      </c>
      <c r="U682" s="123" t="s">
        <v>282</v>
      </c>
      <c r="V682" s="21"/>
      <c r="W682" s="58">
        <f t="shared" si="995"/>
        <v>33084</v>
      </c>
      <c r="X682" s="102">
        <f t="shared" si="996"/>
        <v>57.392000000000003</v>
      </c>
      <c r="Y682" s="102">
        <f t="shared" si="997"/>
        <v>11.919</v>
      </c>
      <c r="Z682" s="21">
        <f t="shared" si="998"/>
        <v>8195</v>
      </c>
      <c r="AA682" s="44">
        <f t="shared" si="999"/>
        <v>0</v>
      </c>
      <c r="AB682" s="21">
        <f t="shared" si="957"/>
        <v>1</v>
      </c>
      <c r="AC682" s="119">
        <f>ROUND(I682+mwreg!$G$75/100,3)</f>
        <v>-1.048</v>
      </c>
      <c r="AD682" s="108">
        <f>ROUND(J682+mwreg!$G$75/100,3)</f>
        <v>1.641</v>
      </c>
      <c r="AE682" s="108">
        <f>ROUND(K682+mwreg!$G$75/100,3)</f>
        <v>0.112</v>
      </c>
      <c r="AF682" s="102">
        <f t="shared" si="1071"/>
        <v>0.26790000000000003</v>
      </c>
      <c r="AG682" s="102" t="str">
        <f t="shared" si="1072"/>
        <v>NaN</v>
      </c>
      <c r="AH682" s="109" t="str">
        <f t="shared" si="1030"/>
        <v>NaN</v>
      </c>
      <c r="AI682" s="110">
        <f t="shared" si="1031"/>
        <v>180</v>
      </c>
      <c r="AJ682" s="110">
        <f t="shared" si="1032"/>
        <v>60</v>
      </c>
      <c r="AK682" s="108">
        <f t="shared" si="1033"/>
        <v>1E-3</v>
      </c>
      <c r="AL682" s="110">
        <f t="shared" si="1034"/>
        <v>3</v>
      </c>
      <c r="AM682" s="110">
        <f t="shared" si="1035"/>
        <v>1500</v>
      </c>
      <c r="AN682" s="108">
        <f t="shared" si="1036"/>
        <v>0.1</v>
      </c>
      <c r="AO682" s="186" t="str">
        <f t="shared" si="1056"/>
        <v>NaN</v>
      </c>
    </row>
    <row r="683" spans="1:41" x14ac:dyDescent="0.2">
      <c r="A683" s="3" t="s">
        <v>296</v>
      </c>
      <c r="B683" s="3" t="s">
        <v>296</v>
      </c>
      <c r="C683" s="52">
        <v>33084</v>
      </c>
      <c r="D683" s="105">
        <v>57.392000000000003</v>
      </c>
      <c r="E683" s="105">
        <v>11.919</v>
      </c>
      <c r="F683" s="20">
        <v>8195</v>
      </c>
      <c r="G683" s="18">
        <v>0</v>
      </c>
      <c r="H683" s="53">
        <v>2</v>
      </c>
      <c r="I683" s="121">
        <f t="shared" si="1073"/>
        <v>-1.0409999999999999</v>
      </c>
      <c r="J683" s="101">
        <f t="shared" si="1073"/>
        <v>1.294</v>
      </c>
      <c r="K683" s="101">
        <f t="shared" si="1073"/>
        <v>2.1000000000000001E-2</v>
      </c>
      <c r="L683" s="102">
        <f t="shared" si="1074"/>
        <v>0.27389999999999998</v>
      </c>
      <c r="M683" s="105" t="s">
        <v>282</v>
      </c>
      <c r="N683" s="105" t="s">
        <v>282</v>
      </c>
      <c r="O683" s="21">
        <f t="shared" ref="O683:P683" si="1075">ROUND(0.724*O671+0.276*O719,0)</f>
        <v>180</v>
      </c>
      <c r="P683" s="21">
        <f t="shared" si="1075"/>
        <v>60</v>
      </c>
      <c r="Q683" s="101">
        <f t="shared" ref="Q683:Q693" si="1076">ROUND(0.724*Q671+0.276*Q719,3)</f>
        <v>1E-3</v>
      </c>
      <c r="R683" s="21">
        <f t="shared" ref="R683:S683" si="1077">ROUND(0.724*R671+0.276*R719,0)</f>
        <v>3</v>
      </c>
      <c r="S683" s="21">
        <f t="shared" si="1077"/>
        <v>1500</v>
      </c>
      <c r="T683" s="101">
        <f t="shared" ref="T683:T693" si="1078">ROUND(0.724*T671+0.276*T719,3)</f>
        <v>0.1</v>
      </c>
      <c r="U683" s="123" t="s">
        <v>282</v>
      </c>
      <c r="V683" s="21"/>
      <c r="W683" s="58">
        <f t="shared" si="995"/>
        <v>33084</v>
      </c>
      <c r="X683" s="102">
        <f t="shared" si="996"/>
        <v>57.392000000000003</v>
      </c>
      <c r="Y683" s="102">
        <f t="shared" si="997"/>
        <v>11.919</v>
      </c>
      <c r="Z683" s="21">
        <f t="shared" si="998"/>
        <v>8195</v>
      </c>
      <c r="AA683" s="44">
        <f t="shared" si="999"/>
        <v>0</v>
      </c>
      <c r="AB683" s="21">
        <f t="shared" si="957"/>
        <v>2</v>
      </c>
      <c r="AC683" s="119">
        <f>ROUND(I683+mwreg!$G$75/100,3)</f>
        <v>-1.0069999999999999</v>
      </c>
      <c r="AD683" s="108">
        <f>ROUND(J683+mwreg!$G$75/100,3)</f>
        <v>1.3280000000000001</v>
      </c>
      <c r="AE683" s="108">
        <f>ROUND(K683+mwreg!$G$75/100,3)</f>
        <v>5.5E-2</v>
      </c>
      <c r="AF683" s="102">
        <f t="shared" si="1071"/>
        <v>0.27389999999999998</v>
      </c>
      <c r="AG683" s="102" t="str">
        <f t="shared" si="1072"/>
        <v>NaN</v>
      </c>
      <c r="AH683" s="109" t="str">
        <f t="shared" si="1030"/>
        <v>NaN</v>
      </c>
      <c r="AI683" s="110">
        <f t="shared" si="1031"/>
        <v>180</v>
      </c>
      <c r="AJ683" s="110">
        <f t="shared" si="1032"/>
        <v>60</v>
      </c>
      <c r="AK683" s="108">
        <f t="shared" si="1033"/>
        <v>1E-3</v>
      </c>
      <c r="AL683" s="110">
        <f t="shared" si="1034"/>
        <v>3</v>
      </c>
      <c r="AM683" s="110">
        <f t="shared" si="1035"/>
        <v>1500</v>
      </c>
      <c r="AN683" s="108">
        <f t="shared" si="1036"/>
        <v>0.1</v>
      </c>
      <c r="AO683" s="186" t="str">
        <f t="shared" si="1056"/>
        <v>NaN</v>
      </c>
    </row>
    <row r="684" spans="1:41" x14ac:dyDescent="0.2">
      <c r="A684" s="3" t="s">
        <v>296</v>
      </c>
      <c r="B684" s="3" t="s">
        <v>296</v>
      </c>
      <c r="C684" s="52">
        <v>33084</v>
      </c>
      <c r="D684" s="105">
        <v>57.392000000000003</v>
      </c>
      <c r="E684" s="105">
        <v>11.919</v>
      </c>
      <c r="F684" s="20">
        <v>8195</v>
      </c>
      <c r="G684" s="18">
        <v>0</v>
      </c>
      <c r="H684" s="53">
        <v>3</v>
      </c>
      <c r="I684" s="121">
        <f t="shared" si="1073"/>
        <v>-0.77600000000000002</v>
      </c>
      <c r="J684" s="101">
        <f t="shared" si="1073"/>
        <v>1.238</v>
      </c>
      <c r="K684" s="101">
        <f t="shared" si="1073"/>
        <v>-5.2999999999999999E-2</v>
      </c>
      <c r="L684" s="102">
        <f t="shared" si="1074"/>
        <v>0.2177</v>
      </c>
      <c r="M684" s="105" t="s">
        <v>282</v>
      </c>
      <c r="N684" s="105" t="s">
        <v>282</v>
      </c>
      <c r="O684" s="21">
        <f t="shared" ref="O684:P684" si="1079">ROUND(0.724*O672+0.276*O720,0)</f>
        <v>180</v>
      </c>
      <c r="P684" s="21">
        <f t="shared" si="1079"/>
        <v>60</v>
      </c>
      <c r="Q684" s="101">
        <f t="shared" si="1076"/>
        <v>1E-3</v>
      </c>
      <c r="R684" s="21">
        <f t="shared" ref="R684:S684" si="1080">ROUND(0.724*R672+0.276*R720,0)</f>
        <v>3</v>
      </c>
      <c r="S684" s="21">
        <f t="shared" si="1080"/>
        <v>1500</v>
      </c>
      <c r="T684" s="101">
        <f t="shared" si="1078"/>
        <v>0.1</v>
      </c>
      <c r="U684" s="123" t="s">
        <v>282</v>
      </c>
      <c r="V684" s="21"/>
      <c r="W684" s="58">
        <f t="shared" si="995"/>
        <v>33084</v>
      </c>
      <c r="X684" s="102">
        <f t="shared" si="996"/>
        <v>57.392000000000003</v>
      </c>
      <c r="Y684" s="102">
        <f t="shared" si="997"/>
        <v>11.919</v>
      </c>
      <c r="Z684" s="21">
        <f t="shared" si="998"/>
        <v>8195</v>
      </c>
      <c r="AA684" s="44">
        <f t="shared" si="999"/>
        <v>0</v>
      </c>
      <c r="AB684" s="21">
        <f t="shared" si="957"/>
        <v>3</v>
      </c>
      <c r="AC684" s="119">
        <f>ROUND(I684+mwreg!$G$75/100,3)</f>
        <v>-0.74199999999999999</v>
      </c>
      <c r="AD684" s="108">
        <f>ROUND(J684+mwreg!$G$75/100,3)</f>
        <v>1.272</v>
      </c>
      <c r="AE684" s="108">
        <f>ROUND(K684+mwreg!$G$75/100,3)</f>
        <v>-1.9E-2</v>
      </c>
      <c r="AF684" s="102">
        <f t="shared" si="1071"/>
        <v>0.2177</v>
      </c>
      <c r="AG684" s="102" t="str">
        <f t="shared" si="1072"/>
        <v>NaN</v>
      </c>
      <c r="AH684" s="109" t="str">
        <f t="shared" si="1030"/>
        <v>NaN</v>
      </c>
      <c r="AI684" s="110">
        <f t="shared" si="1031"/>
        <v>180</v>
      </c>
      <c r="AJ684" s="110">
        <f t="shared" si="1032"/>
        <v>60</v>
      </c>
      <c r="AK684" s="108">
        <f t="shared" si="1033"/>
        <v>1E-3</v>
      </c>
      <c r="AL684" s="110">
        <f t="shared" si="1034"/>
        <v>3</v>
      </c>
      <c r="AM684" s="110">
        <f t="shared" si="1035"/>
        <v>1500</v>
      </c>
      <c r="AN684" s="108">
        <f t="shared" si="1036"/>
        <v>0.1</v>
      </c>
      <c r="AO684" s="186" t="str">
        <f t="shared" si="1056"/>
        <v>NaN</v>
      </c>
    </row>
    <row r="685" spans="1:41" x14ac:dyDescent="0.2">
      <c r="A685" s="3" t="s">
        <v>296</v>
      </c>
      <c r="B685" s="3" t="s">
        <v>296</v>
      </c>
      <c r="C685" s="52">
        <v>33084</v>
      </c>
      <c r="D685" s="105">
        <v>57.392000000000003</v>
      </c>
      <c r="E685" s="105">
        <v>11.919</v>
      </c>
      <c r="F685" s="20">
        <v>8195</v>
      </c>
      <c r="G685" s="18">
        <v>0</v>
      </c>
      <c r="H685" s="53">
        <v>4</v>
      </c>
      <c r="I685" s="121">
        <f t="shared" si="1073"/>
        <v>-0.68400000000000005</v>
      </c>
      <c r="J685" s="101">
        <f t="shared" si="1073"/>
        <v>0.83599999999999997</v>
      </c>
      <c r="K685" s="101">
        <f t="shared" si="1073"/>
        <v>-8.6999999999999994E-2</v>
      </c>
      <c r="L685" s="102">
        <f t="shared" si="1074"/>
        <v>0.1497</v>
      </c>
      <c r="M685" s="105" t="s">
        <v>282</v>
      </c>
      <c r="N685" s="105" t="s">
        <v>282</v>
      </c>
      <c r="O685" s="21">
        <f t="shared" ref="O685:P685" si="1081">ROUND(0.724*O673+0.276*O721,0)</f>
        <v>180</v>
      </c>
      <c r="P685" s="21">
        <f t="shared" si="1081"/>
        <v>60</v>
      </c>
      <c r="Q685" s="101">
        <f t="shared" si="1076"/>
        <v>1E-3</v>
      </c>
      <c r="R685" s="21">
        <f t="shared" ref="R685:S685" si="1082">ROUND(0.724*R673+0.276*R721,0)</f>
        <v>3</v>
      </c>
      <c r="S685" s="21">
        <f t="shared" si="1082"/>
        <v>1500</v>
      </c>
      <c r="T685" s="101">
        <f t="shared" si="1078"/>
        <v>0.1</v>
      </c>
      <c r="U685" s="123" t="s">
        <v>282</v>
      </c>
      <c r="V685" s="21"/>
      <c r="W685" s="58">
        <f t="shared" si="995"/>
        <v>33084</v>
      </c>
      <c r="X685" s="102">
        <f t="shared" si="996"/>
        <v>57.392000000000003</v>
      </c>
      <c r="Y685" s="102">
        <f t="shared" si="997"/>
        <v>11.919</v>
      </c>
      <c r="Z685" s="21">
        <f t="shared" si="998"/>
        <v>8195</v>
      </c>
      <c r="AA685" s="44">
        <f t="shared" si="999"/>
        <v>0</v>
      </c>
      <c r="AB685" s="21">
        <f t="shared" si="957"/>
        <v>4</v>
      </c>
      <c r="AC685" s="119">
        <f>ROUND(I685+mwreg!$G$75/100,3)</f>
        <v>-0.65</v>
      </c>
      <c r="AD685" s="108">
        <f>ROUND(J685+mwreg!$G$75/100,3)</f>
        <v>0.87</v>
      </c>
      <c r="AE685" s="108">
        <f>ROUND(K685+mwreg!$G$75/100,3)</f>
        <v>-5.2999999999999999E-2</v>
      </c>
      <c r="AF685" s="102">
        <f t="shared" si="1071"/>
        <v>0.1497</v>
      </c>
      <c r="AG685" s="102" t="str">
        <f t="shared" si="1072"/>
        <v>NaN</v>
      </c>
      <c r="AH685" s="109" t="str">
        <f t="shared" si="1030"/>
        <v>NaN</v>
      </c>
      <c r="AI685" s="110">
        <f t="shared" si="1031"/>
        <v>180</v>
      </c>
      <c r="AJ685" s="110">
        <f t="shared" si="1032"/>
        <v>60</v>
      </c>
      <c r="AK685" s="108">
        <f t="shared" si="1033"/>
        <v>1E-3</v>
      </c>
      <c r="AL685" s="110">
        <f t="shared" si="1034"/>
        <v>3</v>
      </c>
      <c r="AM685" s="110">
        <f t="shared" si="1035"/>
        <v>1500</v>
      </c>
      <c r="AN685" s="108">
        <f t="shared" si="1036"/>
        <v>0.1</v>
      </c>
      <c r="AO685" s="186" t="str">
        <f t="shared" si="1056"/>
        <v>NaN</v>
      </c>
    </row>
    <row r="686" spans="1:41" x14ac:dyDescent="0.2">
      <c r="A686" s="3" t="s">
        <v>296</v>
      </c>
      <c r="B686" s="3" t="s">
        <v>296</v>
      </c>
      <c r="C686" s="52">
        <v>33084</v>
      </c>
      <c r="D686" s="105">
        <v>57.392000000000003</v>
      </c>
      <c r="E686" s="105">
        <v>11.919</v>
      </c>
      <c r="F686" s="20">
        <v>8195</v>
      </c>
      <c r="G686" s="18">
        <v>0</v>
      </c>
      <c r="H686" s="53">
        <v>5</v>
      </c>
      <c r="I686" s="121">
        <f t="shared" si="1073"/>
        <v>-0.55200000000000005</v>
      </c>
      <c r="J686" s="101">
        <f t="shared" si="1073"/>
        <v>0.623</v>
      </c>
      <c r="K686" s="101">
        <f t="shared" si="1073"/>
        <v>-5.8000000000000003E-2</v>
      </c>
      <c r="L686" s="102">
        <f t="shared" si="1074"/>
        <v>0.1336</v>
      </c>
      <c r="M686" s="105" t="s">
        <v>282</v>
      </c>
      <c r="N686" s="105" t="s">
        <v>282</v>
      </c>
      <c r="O686" s="21">
        <f t="shared" ref="O686:P686" si="1083">ROUND(0.724*O674+0.276*O722,0)</f>
        <v>180</v>
      </c>
      <c r="P686" s="21">
        <f t="shared" si="1083"/>
        <v>60</v>
      </c>
      <c r="Q686" s="101">
        <f t="shared" si="1076"/>
        <v>1E-3</v>
      </c>
      <c r="R686" s="21">
        <f t="shared" ref="R686:S686" si="1084">ROUND(0.724*R674+0.276*R722,0)</f>
        <v>3</v>
      </c>
      <c r="S686" s="21">
        <f t="shared" si="1084"/>
        <v>1500</v>
      </c>
      <c r="T686" s="101">
        <f t="shared" si="1078"/>
        <v>0.1</v>
      </c>
      <c r="U686" s="123" t="s">
        <v>282</v>
      </c>
      <c r="V686" s="21"/>
      <c r="W686" s="58">
        <f t="shared" si="995"/>
        <v>33084</v>
      </c>
      <c r="X686" s="102">
        <f t="shared" si="996"/>
        <v>57.392000000000003</v>
      </c>
      <c r="Y686" s="102">
        <f t="shared" si="997"/>
        <v>11.919</v>
      </c>
      <c r="Z686" s="21">
        <f t="shared" si="998"/>
        <v>8195</v>
      </c>
      <c r="AA686" s="44">
        <f t="shared" si="999"/>
        <v>0</v>
      </c>
      <c r="AB686" s="21">
        <f t="shared" si="957"/>
        <v>5</v>
      </c>
      <c r="AC686" s="119">
        <f>ROUND(I686+mwreg!$G$75/100,3)</f>
        <v>-0.51800000000000002</v>
      </c>
      <c r="AD686" s="108">
        <f>ROUND(J686+mwreg!$G$75/100,3)</f>
        <v>0.65700000000000003</v>
      </c>
      <c r="AE686" s="108">
        <f>ROUND(K686+mwreg!$G$75/100,3)</f>
        <v>-2.4E-2</v>
      </c>
      <c r="AF686" s="102">
        <f t="shared" si="1071"/>
        <v>0.1336</v>
      </c>
      <c r="AG686" s="102" t="str">
        <f t="shared" si="1072"/>
        <v>NaN</v>
      </c>
      <c r="AH686" s="109" t="str">
        <f t="shared" si="1030"/>
        <v>NaN</v>
      </c>
      <c r="AI686" s="110">
        <f t="shared" si="1031"/>
        <v>180</v>
      </c>
      <c r="AJ686" s="110">
        <f t="shared" si="1032"/>
        <v>60</v>
      </c>
      <c r="AK686" s="108">
        <f t="shared" si="1033"/>
        <v>1E-3</v>
      </c>
      <c r="AL686" s="110">
        <f t="shared" si="1034"/>
        <v>3</v>
      </c>
      <c r="AM686" s="110">
        <f t="shared" si="1035"/>
        <v>1500</v>
      </c>
      <c r="AN686" s="108">
        <f t="shared" si="1036"/>
        <v>0.1</v>
      </c>
      <c r="AO686" s="186" t="str">
        <f t="shared" si="1056"/>
        <v>NaN</v>
      </c>
    </row>
    <row r="687" spans="1:41" x14ac:dyDescent="0.2">
      <c r="A687" s="3" t="s">
        <v>296</v>
      </c>
      <c r="B687" s="3" t="s">
        <v>296</v>
      </c>
      <c r="C687" s="52">
        <v>33084</v>
      </c>
      <c r="D687" s="105">
        <v>57.392000000000003</v>
      </c>
      <c r="E687" s="105">
        <v>11.919</v>
      </c>
      <c r="F687" s="20">
        <v>8195</v>
      </c>
      <c r="G687" s="18">
        <v>0</v>
      </c>
      <c r="H687" s="53">
        <v>6</v>
      </c>
      <c r="I687" s="121">
        <f t="shared" si="1073"/>
        <v>-0.436</v>
      </c>
      <c r="J687" s="101">
        <f t="shared" si="1073"/>
        <v>0.71599999999999997</v>
      </c>
      <c r="K687" s="101">
        <f t="shared" si="1073"/>
        <v>-8.9999999999999993E-3</v>
      </c>
      <c r="L687" s="102">
        <f t="shared" si="1074"/>
        <v>0.1242</v>
      </c>
      <c r="M687" s="105" t="s">
        <v>282</v>
      </c>
      <c r="N687" s="105" t="s">
        <v>282</v>
      </c>
      <c r="O687" s="21">
        <f t="shared" ref="O687:P687" si="1085">ROUND(0.724*O675+0.276*O723,0)</f>
        <v>180</v>
      </c>
      <c r="P687" s="21">
        <f t="shared" si="1085"/>
        <v>60</v>
      </c>
      <c r="Q687" s="101">
        <f t="shared" si="1076"/>
        <v>1E-3</v>
      </c>
      <c r="R687" s="21">
        <f t="shared" ref="R687:S687" si="1086">ROUND(0.724*R675+0.276*R723,0)</f>
        <v>3</v>
      </c>
      <c r="S687" s="21">
        <f t="shared" si="1086"/>
        <v>1500</v>
      </c>
      <c r="T687" s="101">
        <f t="shared" si="1078"/>
        <v>0.1</v>
      </c>
      <c r="U687" s="123" t="s">
        <v>282</v>
      </c>
      <c r="V687" s="21"/>
      <c r="W687" s="58">
        <f t="shared" si="995"/>
        <v>33084</v>
      </c>
      <c r="X687" s="102">
        <f t="shared" si="996"/>
        <v>57.392000000000003</v>
      </c>
      <c r="Y687" s="102">
        <f t="shared" si="997"/>
        <v>11.919</v>
      </c>
      <c r="Z687" s="21">
        <f t="shared" si="998"/>
        <v>8195</v>
      </c>
      <c r="AA687" s="44">
        <f t="shared" si="999"/>
        <v>0</v>
      </c>
      <c r="AB687" s="21">
        <f t="shared" si="957"/>
        <v>6</v>
      </c>
      <c r="AC687" s="119">
        <f>ROUND(I687+mwreg!$G$75/100,3)</f>
        <v>-0.40200000000000002</v>
      </c>
      <c r="AD687" s="108">
        <f>ROUND(J687+mwreg!$G$75/100,3)</f>
        <v>0.75</v>
      </c>
      <c r="AE687" s="108">
        <f>ROUND(K687+mwreg!$G$75/100,3)</f>
        <v>2.5000000000000001E-2</v>
      </c>
      <c r="AF687" s="102">
        <f t="shared" si="1071"/>
        <v>0.1242</v>
      </c>
      <c r="AG687" s="102" t="str">
        <f t="shared" si="1072"/>
        <v>NaN</v>
      </c>
      <c r="AH687" s="109" t="str">
        <f t="shared" si="1030"/>
        <v>NaN</v>
      </c>
      <c r="AI687" s="110">
        <f t="shared" si="1031"/>
        <v>180</v>
      </c>
      <c r="AJ687" s="110">
        <f t="shared" si="1032"/>
        <v>60</v>
      </c>
      <c r="AK687" s="108">
        <f t="shared" si="1033"/>
        <v>1E-3</v>
      </c>
      <c r="AL687" s="110">
        <f t="shared" si="1034"/>
        <v>3</v>
      </c>
      <c r="AM687" s="110">
        <f t="shared" si="1035"/>
        <v>1500</v>
      </c>
      <c r="AN687" s="108">
        <f t="shared" si="1036"/>
        <v>0.1</v>
      </c>
      <c r="AO687" s="186" t="str">
        <f t="shared" si="1056"/>
        <v>NaN</v>
      </c>
    </row>
    <row r="688" spans="1:41" x14ac:dyDescent="0.2">
      <c r="A688" s="3" t="s">
        <v>296</v>
      </c>
      <c r="B688" s="3" t="s">
        <v>296</v>
      </c>
      <c r="C688" s="52">
        <v>33084</v>
      </c>
      <c r="D688" s="105">
        <v>57.392000000000003</v>
      </c>
      <c r="E688" s="105">
        <v>11.919</v>
      </c>
      <c r="F688" s="20">
        <v>8195</v>
      </c>
      <c r="G688" s="18">
        <v>0</v>
      </c>
      <c r="H688" s="53">
        <v>7</v>
      </c>
      <c r="I688" s="121">
        <f t="shared" si="1073"/>
        <v>-0.35</v>
      </c>
      <c r="J688" s="101">
        <f t="shared" si="1073"/>
        <v>0.76700000000000002</v>
      </c>
      <c r="K688" s="101">
        <f t="shared" si="1073"/>
        <v>6.2E-2</v>
      </c>
      <c r="L688" s="102">
        <f t="shared" si="1074"/>
        <v>0.1258</v>
      </c>
      <c r="M688" s="105" t="s">
        <v>282</v>
      </c>
      <c r="N688" s="105" t="s">
        <v>282</v>
      </c>
      <c r="O688" s="21">
        <f t="shared" ref="O688:P688" si="1087">ROUND(0.724*O676+0.276*O724,0)</f>
        <v>180</v>
      </c>
      <c r="P688" s="21">
        <f t="shared" si="1087"/>
        <v>60</v>
      </c>
      <c r="Q688" s="101">
        <f t="shared" si="1076"/>
        <v>1E-3</v>
      </c>
      <c r="R688" s="21">
        <f t="shared" ref="R688:S688" si="1088">ROUND(0.724*R676+0.276*R724,0)</f>
        <v>3</v>
      </c>
      <c r="S688" s="21">
        <f t="shared" si="1088"/>
        <v>1500</v>
      </c>
      <c r="T688" s="101">
        <f t="shared" si="1078"/>
        <v>0.1</v>
      </c>
      <c r="U688" s="123" t="s">
        <v>282</v>
      </c>
      <c r="V688" s="21"/>
      <c r="W688" s="58">
        <f t="shared" si="995"/>
        <v>33084</v>
      </c>
      <c r="X688" s="102">
        <f t="shared" si="996"/>
        <v>57.392000000000003</v>
      </c>
      <c r="Y688" s="102">
        <f t="shared" si="997"/>
        <v>11.919</v>
      </c>
      <c r="Z688" s="21">
        <f t="shared" si="998"/>
        <v>8195</v>
      </c>
      <c r="AA688" s="44">
        <f t="shared" si="999"/>
        <v>0</v>
      </c>
      <c r="AB688" s="21">
        <f t="shared" si="957"/>
        <v>7</v>
      </c>
      <c r="AC688" s="119">
        <f>ROUND(I688+mwreg!$G$75/100,3)</f>
        <v>-0.316</v>
      </c>
      <c r="AD688" s="108">
        <f>ROUND(J688+mwreg!$G$75/100,3)</f>
        <v>0.80100000000000005</v>
      </c>
      <c r="AE688" s="108">
        <f>ROUND(K688+mwreg!$G$75/100,3)</f>
        <v>9.6000000000000002E-2</v>
      </c>
      <c r="AF688" s="102">
        <f t="shared" si="1071"/>
        <v>0.1258</v>
      </c>
      <c r="AG688" s="102" t="str">
        <f t="shared" si="1072"/>
        <v>NaN</v>
      </c>
      <c r="AH688" s="109" t="str">
        <f t="shared" si="1030"/>
        <v>NaN</v>
      </c>
      <c r="AI688" s="110">
        <f t="shared" si="1031"/>
        <v>180</v>
      </c>
      <c r="AJ688" s="110">
        <f t="shared" si="1032"/>
        <v>60</v>
      </c>
      <c r="AK688" s="108">
        <f t="shared" si="1033"/>
        <v>1E-3</v>
      </c>
      <c r="AL688" s="110">
        <f t="shared" si="1034"/>
        <v>3</v>
      </c>
      <c r="AM688" s="110">
        <f t="shared" si="1035"/>
        <v>1500</v>
      </c>
      <c r="AN688" s="108">
        <f t="shared" si="1036"/>
        <v>0.1</v>
      </c>
      <c r="AO688" s="186" t="str">
        <f t="shared" si="1056"/>
        <v>NaN</v>
      </c>
    </row>
    <row r="689" spans="1:41" x14ac:dyDescent="0.2">
      <c r="A689" s="3" t="s">
        <v>296</v>
      </c>
      <c r="B689" s="3" t="s">
        <v>296</v>
      </c>
      <c r="C689" s="52">
        <v>33084</v>
      </c>
      <c r="D689" s="105">
        <v>57.392000000000003</v>
      </c>
      <c r="E689" s="105">
        <v>11.919</v>
      </c>
      <c r="F689" s="20">
        <v>8195</v>
      </c>
      <c r="G689" s="18">
        <v>0</v>
      </c>
      <c r="H689" s="53">
        <v>8</v>
      </c>
      <c r="I689" s="121">
        <f t="shared" si="1073"/>
        <v>-0.34300000000000003</v>
      </c>
      <c r="J689" s="101">
        <f t="shared" si="1073"/>
        <v>0.92400000000000004</v>
      </c>
      <c r="K689" s="101">
        <f t="shared" si="1073"/>
        <v>7.1999999999999995E-2</v>
      </c>
      <c r="L689" s="102">
        <f t="shared" si="1074"/>
        <v>0.12690000000000001</v>
      </c>
      <c r="M689" s="105" t="s">
        <v>282</v>
      </c>
      <c r="N689" s="105" t="s">
        <v>282</v>
      </c>
      <c r="O689" s="21">
        <f t="shared" ref="O689:P689" si="1089">ROUND(0.724*O677+0.276*O725,0)</f>
        <v>180</v>
      </c>
      <c r="P689" s="21">
        <f t="shared" si="1089"/>
        <v>60</v>
      </c>
      <c r="Q689" s="101">
        <f t="shared" si="1076"/>
        <v>1E-3</v>
      </c>
      <c r="R689" s="21">
        <f t="shared" ref="R689:S689" si="1090">ROUND(0.724*R677+0.276*R725,0)</f>
        <v>3</v>
      </c>
      <c r="S689" s="21">
        <f t="shared" si="1090"/>
        <v>1500</v>
      </c>
      <c r="T689" s="101">
        <f t="shared" si="1078"/>
        <v>0.1</v>
      </c>
      <c r="U689" s="123" t="s">
        <v>282</v>
      </c>
      <c r="V689" s="21"/>
      <c r="W689" s="58">
        <f t="shared" si="995"/>
        <v>33084</v>
      </c>
      <c r="X689" s="102">
        <f t="shared" si="996"/>
        <v>57.392000000000003</v>
      </c>
      <c r="Y689" s="102">
        <f t="shared" si="997"/>
        <v>11.919</v>
      </c>
      <c r="Z689" s="21">
        <f t="shared" si="998"/>
        <v>8195</v>
      </c>
      <c r="AA689" s="44">
        <f t="shared" si="999"/>
        <v>0</v>
      </c>
      <c r="AB689" s="21">
        <f t="shared" si="957"/>
        <v>8</v>
      </c>
      <c r="AC689" s="119">
        <f>ROUND(I689+mwreg!$G$75/100,3)</f>
        <v>-0.309</v>
      </c>
      <c r="AD689" s="108">
        <f>ROUND(J689+mwreg!$G$75/100,3)</f>
        <v>0.95799999999999996</v>
      </c>
      <c r="AE689" s="108">
        <f>ROUND(K689+mwreg!$G$75/100,3)</f>
        <v>0.106</v>
      </c>
      <c r="AF689" s="102">
        <f t="shared" si="1071"/>
        <v>0.12690000000000001</v>
      </c>
      <c r="AG689" s="102" t="str">
        <f t="shared" si="1072"/>
        <v>NaN</v>
      </c>
      <c r="AH689" s="109" t="str">
        <f t="shared" si="1030"/>
        <v>NaN</v>
      </c>
      <c r="AI689" s="110">
        <f t="shared" si="1031"/>
        <v>180</v>
      </c>
      <c r="AJ689" s="110">
        <f t="shared" si="1032"/>
        <v>60</v>
      </c>
      <c r="AK689" s="108">
        <f t="shared" si="1033"/>
        <v>1E-3</v>
      </c>
      <c r="AL689" s="110">
        <f t="shared" si="1034"/>
        <v>3</v>
      </c>
      <c r="AM689" s="110">
        <f t="shared" si="1035"/>
        <v>1500</v>
      </c>
      <c r="AN689" s="108">
        <f t="shared" si="1036"/>
        <v>0.1</v>
      </c>
      <c r="AO689" s="186" t="str">
        <f t="shared" si="1056"/>
        <v>NaN</v>
      </c>
    </row>
    <row r="690" spans="1:41" x14ac:dyDescent="0.2">
      <c r="A690" s="3" t="s">
        <v>296</v>
      </c>
      <c r="B690" s="3" t="s">
        <v>296</v>
      </c>
      <c r="C690" s="52">
        <v>33084</v>
      </c>
      <c r="D690" s="105">
        <v>57.392000000000003</v>
      </c>
      <c r="E690" s="105">
        <v>11.919</v>
      </c>
      <c r="F690" s="20">
        <v>8195</v>
      </c>
      <c r="G690" s="18">
        <v>0</v>
      </c>
      <c r="H690" s="53">
        <v>9</v>
      </c>
      <c r="I690" s="121">
        <f t="shared" si="1073"/>
        <v>-0.46800000000000003</v>
      </c>
      <c r="J690" s="101">
        <f t="shared" si="1073"/>
        <v>1.165</v>
      </c>
      <c r="K690" s="101">
        <f t="shared" si="1073"/>
        <v>9.1999999999999998E-2</v>
      </c>
      <c r="L690" s="102">
        <f t="shared" si="1074"/>
        <v>0.1726</v>
      </c>
      <c r="M690" s="105" t="s">
        <v>282</v>
      </c>
      <c r="N690" s="105" t="s">
        <v>282</v>
      </c>
      <c r="O690" s="21">
        <f t="shared" ref="O690:P690" si="1091">ROUND(0.724*O678+0.276*O726,0)</f>
        <v>180</v>
      </c>
      <c r="P690" s="21">
        <f t="shared" si="1091"/>
        <v>60</v>
      </c>
      <c r="Q690" s="101">
        <f t="shared" si="1076"/>
        <v>1E-3</v>
      </c>
      <c r="R690" s="21">
        <f t="shared" ref="R690:S690" si="1092">ROUND(0.724*R678+0.276*R726,0)</f>
        <v>3</v>
      </c>
      <c r="S690" s="21">
        <f t="shared" si="1092"/>
        <v>1500</v>
      </c>
      <c r="T690" s="101">
        <f t="shared" si="1078"/>
        <v>0.1</v>
      </c>
      <c r="U690" s="123" t="s">
        <v>282</v>
      </c>
      <c r="V690" s="21"/>
      <c r="W690" s="58">
        <f t="shared" si="995"/>
        <v>33084</v>
      </c>
      <c r="X690" s="102">
        <f t="shared" si="996"/>
        <v>57.392000000000003</v>
      </c>
      <c r="Y690" s="102">
        <f t="shared" si="997"/>
        <v>11.919</v>
      </c>
      <c r="Z690" s="21">
        <f t="shared" si="998"/>
        <v>8195</v>
      </c>
      <c r="AA690" s="44">
        <f t="shared" si="999"/>
        <v>0</v>
      </c>
      <c r="AB690" s="21">
        <f t="shared" si="957"/>
        <v>9</v>
      </c>
      <c r="AC690" s="119">
        <f>ROUND(I690+mwreg!$G$75/100,3)</f>
        <v>-0.434</v>
      </c>
      <c r="AD690" s="108">
        <f>ROUND(J690+mwreg!$G$75/100,3)</f>
        <v>1.1990000000000001</v>
      </c>
      <c r="AE690" s="108">
        <f>ROUND(K690+mwreg!$G$75/100,3)</f>
        <v>0.126</v>
      </c>
      <c r="AF690" s="102">
        <f t="shared" si="1071"/>
        <v>0.1726</v>
      </c>
      <c r="AG690" s="102" t="str">
        <f t="shared" si="1072"/>
        <v>NaN</v>
      </c>
      <c r="AH690" s="109" t="str">
        <f t="shared" si="1030"/>
        <v>NaN</v>
      </c>
      <c r="AI690" s="110">
        <f t="shared" si="1031"/>
        <v>180</v>
      </c>
      <c r="AJ690" s="110">
        <f t="shared" si="1032"/>
        <v>60</v>
      </c>
      <c r="AK690" s="108">
        <f t="shared" si="1033"/>
        <v>1E-3</v>
      </c>
      <c r="AL690" s="110">
        <f t="shared" si="1034"/>
        <v>3</v>
      </c>
      <c r="AM690" s="110">
        <f t="shared" si="1035"/>
        <v>1500</v>
      </c>
      <c r="AN690" s="108">
        <f t="shared" si="1036"/>
        <v>0.1</v>
      </c>
      <c r="AO690" s="186" t="str">
        <f t="shared" si="1056"/>
        <v>NaN</v>
      </c>
    </row>
    <row r="691" spans="1:41" x14ac:dyDescent="0.2">
      <c r="A691" s="3" t="s">
        <v>296</v>
      </c>
      <c r="B691" s="3" t="s">
        <v>296</v>
      </c>
      <c r="C691" s="52">
        <v>33084</v>
      </c>
      <c r="D691" s="105">
        <v>57.392000000000003</v>
      </c>
      <c r="E691" s="105">
        <v>11.919</v>
      </c>
      <c r="F691" s="20">
        <v>8195</v>
      </c>
      <c r="G691" s="18">
        <v>0</v>
      </c>
      <c r="H691" s="53">
        <v>10</v>
      </c>
      <c r="I691" s="121">
        <f t="shared" si="1073"/>
        <v>-0.65100000000000002</v>
      </c>
      <c r="J691" s="101">
        <f t="shared" si="1073"/>
        <v>1.2809999999999999</v>
      </c>
      <c r="K691" s="101">
        <f t="shared" si="1073"/>
        <v>8.3000000000000004E-2</v>
      </c>
      <c r="L691" s="102">
        <f t="shared" si="1074"/>
        <v>0.19789999999999999</v>
      </c>
      <c r="M691" s="105" t="s">
        <v>282</v>
      </c>
      <c r="N691" s="105" t="s">
        <v>282</v>
      </c>
      <c r="O691" s="21">
        <f t="shared" ref="O691:P691" si="1093">ROUND(0.724*O679+0.276*O727,0)</f>
        <v>180</v>
      </c>
      <c r="P691" s="21">
        <f t="shared" si="1093"/>
        <v>60</v>
      </c>
      <c r="Q691" s="101">
        <f t="shared" si="1076"/>
        <v>1E-3</v>
      </c>
      <c r="R691" s="21">
        <f t="shared" ref="R691:S691" si="1094">ROUND(0.724*R679+0.276*R727,0)</f>
        <v>3</v>
      </c>
      <c r="S691" s="21">
        <f t="shared" si="1094"/>
        <v>1500</v>
      </c>
      <c r="T691" s="101">
        <f t="shared" si="1078"/>
        <v>0.1</v>
      </c>
      <c r="U691" s="123" t="s">
        <v>282</v>
      </c>
      <c r="V691" s="21"/>
      <c r="W691" s="58">
        <f t="shared" si="995"/>
        <v>33084</v>
      </c>
      <c r="X691" s="102">
        <f t="shared" si="996"/>
        <v>57.392000000000003</v>
      </c>
      <c r="Y691" s="102">
        <f t="shared" si="997"/>
        <v>11.919</v>
      </c>
      <c r="Z691" s="21">
        <f t="shared" si="998"/>
        <v>8195</v>
      </c>
      <c r="AA691" s="44">
        <f t="shared" si="999"/>
        <v>0</v>
      </c>
      <c r="AB691" s="21">
        <f t="shared" si="957"/>
        <v>10</v>
      </c>
      <c r="AC691" s="119">
        <f>ROUND(I691+mwreg!$G$75/100,3)</f>
        <v>-0.61699999999999999</v>
      </c>
      <c r="AD691" s="108">
        <f>ROUND(J691+mwreg!$G$75/100,3)</f>
        <v>1.3149999999999999</v>
      </c>
      <c r="AE691" s="108">
        <f>ROUND(K691+mwreg!$G$75/100,3)</f>
        <v>0.11700000000000001</v>
      </c>
      <c r="AF691" s="102">
        <f t="shared" si="1071"/>
        <v>0.19789999999999999</v>
      </c>
      <c r="AG691" s="102" t="str">
        <f t="shared" si="1072"/>
        <v>NaN</v>
      </c>
      <c r="AH691" s="109" t="str">
        <f t="shared" si="1030"/>
        <v>NaN</v>
      </c>
      <c r="AI691" s="110">
        <f t="shared" si="1031"/>
        <v>180</v>
      </c>
      <c r="AJ691" s="110">
        <f t="shared" si="1032"/>
        <v>60</v>
      </c>
      <c r="AK691" s="108">
        <f t="shared" si="1033"/>
        <v>1E-3</v>
      </c>
      <c r="AL691" s="110">
        <f t="shared" si="1034"/>
        <v>3</v>
      </c>
      <c r="AM691" s="110">
        <f t="shared" si="1035"/>
        <v>1500</v>
      </c>
      <c r="AN691" s="108">
        <f t="shared" si="1036"/>
        <v>0.1</v>
      </c>
      <c r="AO691" s="186" t="str">
        <f t="shared" si="1056"/>
        <v>NaN</v>
      </c>
    </row>
    <row r="692" spans="1:41" x14ac:dyDescent="0.2">
      <c r="A692" s="3" t="s">
        <v>296</v>
      </c>
      <c r="B692" s="3" t="s">
        <v>296</v>
      </c>
      <c r="C692" s="52">
        <v>33084</v>
      </c>
      <c r="D692" s="105">
        <v>57.392000000000003</v>
      </c>
      <c r="E692" s="105">
        <v>11.919</v>
      </c>
      <c r="F692" s="20">
        <v>8195</v>
      </c>
      <c r="G692" s="18">
        <v>0</v>
      </c>
      <c r="H692" s="53">
        <v>11</v>
      </c>
      <c r="I692" s="121">
        <f t="shared" si="1073"/>
        <v>-0.81100000000000005</v>
      </c>
      <c r="J692" s="101">
        <f t="shared" si="1073"/>
        <v>1.351</v>
      </c>
      <c r="K692" s="101">
        <f t="shared" si="1073"/>
        <v>9.2999999999999999E-2</v>
      </c>
      <c r="L692" s="102">
        <f t="shared" si="1074"/>
        <v>0.21929999999999999</v>
      </c>
      <c r="M692" s="105" t="s">
        <v>282</v>
      </c>
      <c r="N692" s="105" t="s">
        <v>282</v>
      </c>
      <c r="O692" s="21">
        <f t="shared" ref="O692:P692" si="1095">ROUND(0.724*O680+0.276*O728,0)</f>
        <v>180</v>
      </c>
      <c r="P692" s="21">
        <f t="shared" si="1095"/>
        <v>60</v>
      </c>
      <c r="Q692" s="101">
        <f t="shared" si="1076"/>
        <v>1E-3</v>
      </c>
      <c r="R692" s="21">
        <f t="shared" ref="R692:S692" si="1096">ROUND(0.724*R680+0.276*R728,0)</f>
        <v>3</v>
      </c>
      <c r="S692" s="21">
        <f t="shared" si="1096"/>
        <v>1500</v>
      </c>
      <c r="T692" s="101">
        <f t="shared" si="1078"/>
        <v>0.1</v>
      </c>
      <c r="U692" s="123" t="s">
        <v>282</v>
      </c>
      <c r="V692" s="21"/>
      <c r="W692" s="58">
        <f t="shared" si="995"/>
        <v>33084</v>
      </c>
      <c r="X692" s="102">
        <f t="shared" si="996"/>
        <v>57.392000000000003</v>
      </c>
      <c r="Y692" s="102">
        <f t="shared" si="997"/>
        <v>11.919</v>
      </c>
      <c r="Z692" s="21">
        <f t="shared" si="998"/>
        <v>8195</v>
      </c>
      <c r="AA692" s="44">
        <f t="shared" si="999"/>
        <v>0</v>
      </c>
      <c r="AB692" s="21">
        <f t="shared" si="957"/>
        <v>11</v>
      </c>
      <c r="AC692" s="119">
        <f>ROUND(I692+mwreg!$G$75/100,3)</f>
        <v>-0.77700000000000002</v>
      </c>
      <c r="AD692" s="108">
        <f>ROUND(J692+mwreg!$G$75/100,3)</f>
        <v>1.385</v>
      </c>
      <c r="AE692" s="108">
        <f>ROUND(K692+mwreg!$G$75/100,3)</f>
        <v>0.127</v>
      </c>
      <c r="AF692" s="102">
        <f t="shared" si="1071"/>
        <v>0.21929999999999999</v>
      </c>
      <c r="AG692" s="102" t="str">
        <f t="shared" si="1072"/>
        <v>NaN</v>
      </c>
      <c r="AH692" s="109" t="str">
        <f t="shared" si="1030"/>
        <v>NaN</v>
      </c>
      <c r="AI692" s="110">
        <f t="shared" si="1031"/>
        <v>180</v>
      </c>
      <c r="AJ692" s="110">
        <f t="shared" si="1032"/>
        <v>60</v>
      </c>
      <c r="AK692" s="108">
        <f t="shared" si="1033"/>
        <v>1E-3</v>
      </c>
      <c r="AL692" s="110">
        <f t="shared" si="1034"/>
        <v>3</v>
      </c>
      <c r="AM692" s="110">
        <f t="shared" si="1035"/>
        <v>1500</v>
      </c>
      <c r="AN692" s="108">
        <f t="shared" si="1036"/>
        <v>0.1</v>
      </c>
      <c r="AO692" s="186" t="str">
        <f t="shared" si="1056"/>
        <v>NaN</v>
      </c>
    </row>
    <row r="693" spans="1:41" x14ac:dyDescent="0.2">
      <c r="A693" s="3" t="s">
        <v>296</v>
      </c>
      <c r="B693" s="3" t="s">
        <v>296</v>
      </c>
      <c r="C693" s="52">
        <v>33084</v>
      </c>
      <c r="D693" s="105">
        <v>57.392000000000003</v>
      </c>
      <c r="E693" s="105">
        <v>11.919</v>
      </c>
      <c r="F693" s="20">
        <v>8195</v>
      </c>
      <c r="G693" s="18">
        <v>0</v>
      </c>
      <c r="H693" s="53">
        <v>12</v>
      </c>
      <c r="I693" s="121">
        <f t="shared" si="1073"/>
        <v>-0.86899999999999999</v>
      </c>
      <c r="J693" s="101">
        <f t="shared" si="1073"/>
        <v>1.468</v>
      </c>
      <c r="K693" s="101">
        <f t="shared" si="1073"/>
        <v>0.107</v>
      </c>
      <c r="L693" s="102">
        <f t="shared" si="1074"/>
        <v>0.25090000000000001</v>
      </c>
      <c r="M693" s="105" t="s">
        <v>282</v>
      </c>
      <c r="N693" s="105" t="s">
        <v>282</v>
      </c>
      <c r="O693" s="21">
        <f t="shared" ref="O693:P693" si="1097">ROUND(0.724*O681+0.276*O729,0)</f>
        <v>180</v>
      </c>
      <c r="P693" s="21">
        <f t="shared" si="1097"/>
        <v>60</v>
      </c>
      <c r="Q693" s="101">
        <f t="shared" si="1076"/>
        <v>1E-3</v>
      </c>
      <c r="R693" s="21">
        <f t="shared" ref="R693:S693" si="1098">ROUND(0.724*R681+0.276*R729,0)</f>
        <v>3</v>
      </c>
      <c r="S693" s="21">
        <f t="shared" si="1098"/>
        <v>1500</v>
      </c>
      <c r="T693" s="101">
        <f t="shared" si="1078"/>
        <v>0.1</v>
      </c>
      <c r="U693" s="123" t="s">
        <v>282</v>
      </c>
      <c r="V693" s="21"/>
      <c r="W693" s="58">
        <f t="shared" si="995"/>
        <v>33084</v>
      </c>
      <c r="X693" s="102">
        <f t="shared" si="996"/>
        <v>57.392000000000003</v>
      </c>
      <c r="Y693" s="102">
        <f t="shared" si="997"/>
        <v>11.919</v>
      </c>
      <c r="Z693" s="21">
        <f t="shared" si="998"/>
        <v>8195</v>
      </c>
      <c r="AA693" s="44">
        <f t="shared" si="999"/>
        <v>0</v>
      </c>
      <c r="AB693" s="21">
        <f t="shared" si="957"/>
        <v>12</v>
      </c>
      <c r="AC693" s="119">
        <f>ROUND(I693+mwreg!$G$75/100,3)</f>
        <v>-0.83499999999999996</v>
      </c>
      <c r="AD693" s="108">
        <f>ROUND(J693+mwreg!$G$75/100,3)</f>
        <v>1.502</v>
      </c>
      <c r="AE693" s="108">
        <f>ROUND(K693+mwreg!$G$75/100,3)</f>
        <v>0.14099999999999999</v>
      </c>
      <c r="AF693" s="102">
        <f t="shared" si="1071"/>
        <v>0.25090000000000001</v>
      </c>
      <c r="AG693" s="102" t="str">
        <f t="shared" si="1072"/>
        <v>NaN</v>
      </c>
      <c r="AH693" s="109" t="str">
        <f t="shared" si="1030"/>
        <v>NaN</v>
      </c>
      <c r="AI693" s="110">
        <f t="shared" si="1031"/>
        <v>180</v>
      </c>
      <c r="AJ693" s="110">
        <f t="shared" si="1032"/>
        <v>60</v>
      </c>
      <c r="AK693" s="108">
        <f t="shared" si="1033"/>
        <v>1E-3</v>
      </c>
      <c r="AL693" s="110">
        <f t="shared" si="1034"/>
        <v>3</v>
      </c>
      <c r="AM693" s="110">
        <f t="shared" si="1035"/>
        <v>1500</v>
      </c>
      <c r="AN693" s="108">
        <f t="shared" si="1036"/>
        <v>0.1</v>
      </c>
      <c r="AO693" s="186" t="str">
        <f t="shared" si="1056"/>
        <v>NaN</v>
      </c>
    </row>
    <row r="694" spans="1:41" x14ac:dyDescent="0.2">
      <c r="A694" s="3" t="str">
        <f>stat_uppg!A66</f>
        <v>114/35144</v>
      </c>
      <c r="B694" s="3" t="str">
        <f>stat_uppg!B66</f>
        <v>VINGA2 (SJÖV)</v>
      </c>
      <c r="C694" s="52">
        <v>35144</v>
      </c>
      <c r="D694" s="105">
        <v>57.631700000000002</v>
      </c>
      <c r="E694" s="105">
        <v>11.6076</v>
      </c>
      <c r="F694" s="20">
        <v>8195</v>
      </c>
      <c r="G694" s="18">
        <v>0</v>
      </c>
      <c r="H694" s="53">
        <v>1</v>
      </c>
      <c r="I694" s="167">
        <f>ROUND(0.245*I670+0.755*I718,3)</f>
        <v>-1.1040000000000001</v>
      </c>
      <c r="J694" s="104">
        <f>ROUND(0.245*J670+0.755*J718,3)</f>
        <v>1.532</v>
      </c>
      <c r="K694" s="104">
        <f>ROUND(0.245*K670+0.755*K718,3)</f>
        <v>7.2999999999999995E-2</v>
      </c>
      <c r="L694" s="105">
        <f>ROUND(0.245*L670+0.755*L718,4)</f>
        <v>0.26989999999999997</v>
      </c>
      <c r="M694" s="105" t="s">
        <v>282</v>
      </c>
      <c r="N694" s="105" t="s">
        <v>282</v>
      </c>
      <c r="O694" s="20">
        <f>ROUND(0.245*O670+0.755*O718,0)</f>
        <v>180</v>
      </c>
      <c r="P694" s="20">
        <f>ROUND(0.245*P670+0.755*P718,0)</f>
        <v>60</v>
      </c>
      <c r="Q694" s="104">
        <f>ROUND(0.245*Q670+0.755*Q718,3)</f>
        <v>1E-3</v>
      </c>
      <c r="R694" s="20">
        <f>ROUND(0.245*R670+0.755*R718,0)</f>
        <v>3</v>
      </c>
      <c r="S694" s="20">
        <f>ROUND(0.245*S670+0.755*S718,0)</f>
        <v>1500</v>
      </c>
      <c r="T694" s="104">
        <f>ROUND(0.245*T670+0.755*T718,3)</f>
        <v>0.1</v>
      </c>
      <c r="U694" s="123" t="s">
        <v>282</v>
      </c>
      <c r="V694" s="21"/>
      <c r="W694" s="58">
        <f t="shared" si="995"/>
        <v>35144</v>
      </c>
      <c r="X694" s="102">
        <f t="shared" si="996"/>
        <v>57.631700000000002</v>
      </c>
      <c r="Y694" s="102">
        <f t="shared" si="997"/>
        <v>11.6076</v>
      </c>
      <c r="Z694" s="21">
        <f t="shared" si="998"/>
        <v>8195</v>
      </c>
      <c r="AA694" s="44">
        <f t="shared" si="999"/>
        <v>0</v>
      </c>
      <c r="AB694" s="21">
        <f t="shared" ref="AB694:AB733" si="1099">H694</f>
        <v>1</v>
      </c>
      <c r="AC694" s="119">
        <f>ROUND(I694+mwreg!$G$76/100,3)</f>
        <v>-1.087</v>
      </c>
      <c r="AD694" s="108">
        <f>ROUND(J694+mwreg!$G$76/100,3)</f>
        <v>1.5489999999999999</v>
      </c>
      <c r="AE694" s="108">
        <f>ROUND(K694+mwreg!$G$76/100,3)</f>
        <v>0.09</v>
      </c>
      <c r="AF694" s="102">
        <f t="shared" si="1071"/>
        <v>0.26989999999999997</v>
      </c>
      <c r="AG694" s="102" t="str">
        <f t="shared" si="1072"/>
        <v>NaN</v>
      </c>
      <c r="AH694" s="109" t="str">
        <f t="shared" si="1030"/>
        <v>NaN</v>
      </c>
      <c r="AI694" s="110">
        <f t="shared" si="1031"/>
        <v>180</v>
      </c>
      <c r="AJ694" s="110">
        <f t="shared" si="1032"/>
        <v>60</v>
      </c>
      <c r="AK694" s="108">
        <f t="shared" si="1033"/>
        <v>1E-3</v>
      </c>
      <c r="AL694" s="110">
        <f t="shared" si="1034"/>
        <v>3</v>
      </c>
      <c r="AM694" s="110">
        <f t="shared" si="1035"/>
        <v>1500</v>
      </c>
      <c r="AN694" s="108">
        <f t="shared" si="1036"/>
        <v>0.1</v>
      </c>
      <c r="AO694" s="186" t="str">
        <f t="shared" si="1056"/>
        <v>NaN</v>
      </c>
    </row>
    <row r="695" spans="1:41" x14ac:dyDescent="0.2">
      <c r="A695" s="3" t="s">
        <v>296</v>
      </c>
      <c r="B695" s="3" t="s">
        <v>296</v>
      </c>
      <c r="C695" s="52">
        <v>35144</v>
      </c>
      <c r="D695" s="105">
        <v>57.631700000000002</v>
      </c>
      <c r="E695" s="105">
        <v>11.6076</v>
      </c>
      <c r="F695" s="20">
        <v>8195</v>
      </c>
      <c r="G695" s="18">
        <v>0</v>
      </c>
      <c r="H695" s="53">
        <v>2</v>
      </c>
      <c r="I695" s="167">
        <f t="shared" ref="I695:K695" si="1100">ROUND(0.245*I671+0.755*I719,3)</f>
        <v>-0.871</v>
      </c>
      <c r="J695" s="104">
        <f t="shared" si="1100"/>
        <v>1.3360000000000001</v>
      </c>
      <c r="K695" s="104">
        <f t="shared" si="1100"/>
        <v>-0.01</v>
      </c>
      <c r="L695" s="105">
        <f t="shared" ref="L695:L705" si="1101">ROUND(0.245*L671+0.755*L719,4)</f>
        <v>0.25209999999999999</v>
      </c>
      <c r="M695" s="105" t="s">
        <v>282</v>
      </c>
      <c r="N695" s="105" t="s">
        <v>282</v>
      </c>
      <c r="O695" s="20">
        <f t="shared" ref="O695:P695" si="1102">ROUND(0.245*O671+0.755*O719,0)</f>
        <v>180</v>
      </c>
      <c r="P695" s="20">
        <f t="shared" si="1102"/>
        <v>60</v>
      </c>
      <c r="Q695" s="104">
        <f t="shared" ref="Q695:Q705" si="1103">ROUND(0.245*Q671+0.755*Q719,3)</f>
        <v>1E-3</v>
      </c>
      <c r="R695" s="20">
        <f t="shared" ref="R695:S695" si="1104">ROUND(0.245*R671+0.755*R719,0)</f>
        <v>3</v>
      </c>
      <c r="S695" s="20">
        <f t="shared" si="1104"/>
        <v>1500</v>
      </c>
      <c r="T695" s="104">
        <f t="shared" ref="T695:T705" si="1105">ROUND(0.245*T671+0.755*T719,3)</f>
        <v>0.1</v>
      </c>
      <c r="U695" s="123" t="s">
        <v>282</v>
      </c>
      <c r="V695" s="21"/>
      <c r="W695" s="58">
        <f t="shared" si="995"/>
        <v>35144</v>
      </c>
      <c r="X695" s="102">
        <f t="shared" si="996"/>
        <v>57.631700000000002</v>
      </c>
      <c r="Y695" s="102">
        <f t="shared" si="997"/>
        <v>11.6076</v>
      </c>
      <c r="Z695" s="21">
        <f t="shared" si="998"/>
        <v>8195</v>
      </c>
      <c r="AA695" s="44">
        <f t="shared" si="999"/>
        <v>0</v>
      </c>
      <c r="AB695" s="21">
        <f t="shared" si="1099"/>
        <v>2</v>
      </c>
      <c r="AC695" s="119">
        <f>ROUND(I695+mwreg!$G$76/100,3)</f>
        <v>-0.85399999999999998</v>
      </c>
      <c r="AD695" s="108">
        <f>ROUND(J695+mwreg!$G$76/100,3)</f>
        <v>1.353</v>
      </c>
      <c r="AE695" s="108">
        <f>ROUND(K695+mwreg!$G$76/100,3)</f>
        <v>7.0000000000000001E-3</v>
      </c>
      <c r="AF695" s="102">
        <f t="shared" si="1071"/>
        <v>0.25209999999999999</v>
      </c>
      <c r="AG695" s="102" t="str">
        <f t="shared" si="1072"/>
        <v>NaN</v>
      </c>
      <c r="AH695" s="109" t="str">
        <f t="shared" si="1030"/>
        <v>NaN</v>
      </c>
      <c r="AI695" s="110">
        <f t="shared" si="1031"/>
        <v>180</v>
      </c>
      <c r="AJ695" s="110">
        <f t="shared" si="1032"/>
        <v>60</v>
      </c>
      <c r="AK695" s="108">
        <f t="shared" si="1033"/>
        <v>1E-3</v>
      </c>
      <c r="AL695" s="110">
        <f t="shared" si="1034"/>
        <v>3</v>
      </c>
      <c r="AM695" s="110">
        <f t="shared" si="1035"/>
        <v>1500</v>
      </c>
      <c r="AN695" s="108">
        <f t="shared" si="1036"/>
        <v>0.1</v>
      </c>
      <c r="AO695" s="186" t="str">
        <f t="shared" si="1056"/>
        <v>NaN</v>
      </c>
    </row>
    <row r="696" spans="1:41" x14ac:dyDescent="0.2">
      <c r="A696" s="3" t="s">
        <v>296</v>
      </c>
      <c r="B696" s="3" t="s">
        <v>296</v>
      </c>
      <c r="C696" s="52">
        <v>35144</v>
      </c>
      <c r="D696" s="105">
        <v>57.631700000000002</v>
      </c>
      <c r="E696" s="105">
        <v>11.6076</v>
      </c>
      <c r="F696" s="20">
        <v>8195</v>
      </c>
      <c r="G696" s="18">
        <v>0</v>
      </c>
      <c r="H696" s="53">
        <v>3</v>
      </c>
      <c r="I696" s="167">
        <f t="shared" ref="I696:K696" si="1106">ROUND(0.245*I672+0.755*I720,3)</f>
        <v>-0.79200000000000004</v>
      </c>
      <c r="J696" s="104">
        <f t="shared" si="1106"/>
        <v>1.2569999999999999</v>
      </c>
      <c r="K696" s="104">
        <f t="shared" si="1106"/>
        <v>-5.6000000000000001E-2</v>
      </c>
      <c r="L696" s="105">
        <f t="shared" si="1101"/>
        <v>0.2225</v>
      </c>
      <c r="M696" s="105" t="s">
        <v>282</v>
      </c>
      <c r="N696" s="105" t="s">
        <v>282</v>
      </c>
      <c r="O696" s="20">
        <f t="shared" ref="O696:P696" si="1107">ROUND(0.245*O672+0.755*O720,0)</f>
        <v>180</v>
      </c>
      <c r="P696" s="20">
        <f t="shared" si="1107"/>
        <v>60</v>
      </c>
      <c r="Q696" s="104">
        <f t="shared" si="1103"/>
        <v>1E-3</v>
      </c>
      <c r="R696" s="20">
        <f t="shared" ref="R696:S696" si="1108">ROUND(0.245*R672+0.755*R720,0)</f>
        <v>3</v>
      </c>
      <c r="S696" s="20">
        <f t="shared" si="1108"/>
        <v>1500</v>
      </c>
      <c r="T696" s="104">
        <f t="shared" si="1105"/>
        <v>0.1</v>
      </c>
      <c r="U696" s="123" t="s">
        <v>282</v>
      </c>
      <c r="V696" s="21"/>
      <c r="W696" s="58">
        <f t="shared" si="995"/>
        <v>35144</v>
      </c>
      <c r="X696" s="102">
        <f t="shared" si="996"/>
        <v>57.631700000000002</v>
      </c>
      <c r="Y696" s="102">
        <f t="shared" si="997"/>
        <v>11.6076</v>
      </c>
      <c r="Z696" s="21">
        <f t="shared" si="998"/>
        <v>8195</v>
      </c>
      <c r="AA696" s="44">
        <f t="shared" si="999"/>
        <v>0</v>
      </c>
      <c r="AB696" s="21">
        <f t="shared" si="1099"/>
        <v>3</v>
      </c>
      <c r="AC696" s="119">
        <f>ROUND(I696+mwreg!$G$76/100,3)</f>
        <v>-0.77500000000000002</v>
      </c>
      <c r="AD696" s="108">
        <f>ROUND(J696+mwreg!$G$76/100,3)</f>
        <v>1.274</v>
      </c>
      <c r="AE696" s="108">
        <f>ROUND(K696+mwreg!$G$76/100,3)</f>
        <v>-3.9E-2</v>
      </c>
      <c r="AF696" s="102">
        <f t="shared" si="1071"/>
        <v>0.2225</v>
      </c>
      <c r="AG696" s="102" t="str">
        <f t="shared" si="1072"/>
        <v>NaN</v>
      </c>
      <c r="AH696" s="109" t="str">
        <f t="shared" si="1030"/>
        <v>NaN</v>
      </c>
      <c r="AI696" s="110">
        <f t="shared" si="1031"/>
        <v>180</v>
      </c>
      <c r="AJ696" s="110">
        <f t="shared" si="1032"/>
        <v>60</v>
      </c>
      <c r="AK696" s="108">
        <f t="shared" si="1033"/>
        <v>1E-3</v>
      </c>
      <c r="AL696" s="110">
        <f t="shared" si="1034"/>
        <v>3</v>
      </c>
      <c r="AM696" s="110">
        <f t="shared" si="1035"/>
        <v>1500</v>
      </c>
      <c r="AN696" s="108">
        <f t="shared" si="1036"/>
        <v>0.1</v>
      </c>
      <c r="AO696" s="186" t="str">
        <f t="shared" si="1056"/>
        <v>NaN</v>
      </c>
    </row>
    <row r="697" spans="1:41" x14ac:dyDescent="0.2">
      <c r="A697" s="3" t="s">
        <v>296</v>
      </c>
      <c r="B697" s="3" t="s">
        <v>296</v>
      </c>
      <c r="C697" s="52">
        <v>35144</v>
      </c>
      <c r="D697" s="105">
        <v>57.631700000000002</v>
      </c>
      <c r="E697" s="105">
        <v>11.6076</v>
      </c>
      <c r="F697" s="20">
        <v>8195</v>
      </c>
      <c r="G697" s="18">
        <v>0</v>
      </c>
      <c r="H697" s="53">
        <v>4</v>
      </c>
      <c r="I697" s="167">
        <f t="shared" ref="I697:K697" si="1109">ROUND(0.245*I673+0.755*I721,3)</f>
        <v>-0.70699999999999996</v>
      </c>
      <c r="J697" s="104">
        <f t="shared" si="1109"/>
        <v>0.84499999999999997</v>
      </c>
      <c r="K697" s="104">
        <f t="shared" si="1109"/>
        <v>-8.5999999999999993E-2</v>
      </c>
      <c r="L697" s="105">
        <f t="shared" si="1101"/>
        <v>0.15390000000000001</v>
      </c>
      <c r="M697" s="105" t="s">
        <v>282</v>
      </c>
      <c r="N697" s="105" t="s">
        <v>282</v>
      </c>
      <c r="O697" s="20">
        <f t="shared" ref="O697:P697" si="1110">ROUND(0.245*O673+0.755*O721,0)</f>
        <v>180</v>
      </c>
      <c r="P697" s="20">
        <f t="shared" si="1110"/>
        <v>60</v>
      </c>
      <c r="Q697" s="104">
        <f t="shared" si="1103"/>
        <v>1E-3</v>
      </c>
      <c r="R697" s="20">
        <f t="shared" ref="R697:S697" si="1111">ROUND(0.245*R673+0.755*R721,0)</f>
        <v>3</v>
      </c>
      <c r="S697" s="20">
        <f t="shared" si="1111"/>
        <v>1500</v>
      </c>
      <c r="T697" s="104">
        <f t="shared" si="1105"/>
        <v>0.1</v>
      </c>
      <c r="U697" s="123" t="s">
        <v>282</v>
      </c>
      <c r="V697" s="21"/>
      <c r="W697" s="58">
        <f t="shared" si="995"/>
        <v>35144</v>
      </c>
      <c r="X697" s="102">
        <f t="shared" si="996"/>
        <v>57.631700000000002</v>
      </c>
      <c r="Y697" s="102">
        <f t="shared" si="997"/>
        <v>11.6076</v>
      </c>
      <c r="Z697" s="21">
        <f t="shared" si="998"/>
        <v>8195</v>
      </c>
      <c r="AA697" s="44">
        <f t="shared" si="999"/>
        <v>0</v>
      </c>
      <c r="AB697" s="21">
        <f t="shared" si="1099"/>
        <v>4</v>
      </c>
      <c r="AC697" s="119">
        <f>ROUND(I697+mwreg!$G$76/100,3)</f>
        <v>-0.69</v>
      </c>
      <c r="AD697" s="108">
        <f>ROUND(J697+mwreg!$G$76/100,3)</f>
        <v>0.86199999999999999</v>
      </c>
      <c r="AE697" s="108">
        <f>ROUND(K697+mwreg!$G$76/100,3)</f>
        <v>-6.9000000000000006E-2</v>
      </c>
      <c r="AF697" s="102">
        <f t="shared" si="1071"/>
        <v>0.15390000000000001</v>
      </c>
      <c r="AG697" s="102" t="str">
        <f t="shared" si="1072"/>
        <v>NaN</v>
      </c>
      <c r="AH697" s="109" t="str">
        <f t="shared" si="1030"/>
        <v>NaN</v>
      </c>
      <c r="AI697" s="110">
        <f t="shared" si="1031"/>
        <v>180</v>
      </c>
      <c r="AJ697" s="110">
        <f t="shared" si="1032"/>
        <v>60</v>
      </c>
      <c r="AK697" s="108">
        <f t="shared" si="1033"/>
        <v>1E-3</v>
      </c>
      <c r="AL697" s="110">
        <f t="shared" si="1034"/>
        <v>3</v>
      </c>
      <c r="AM697" s="110">
        <f t="shared" si="1035"/>
        <v>1500</v>
      </c>
      <c r="AN697" s="108">
        <f t="shared" si="1036"/>
        <v>0.1</v>
      </c>
      <c r="AO697" s="186" t="str">
        <f t="shared" si="1056"/>
        <v>NaN</v>
      </c>
    </row>
    <row r="698" spans="1:41" x14ac:dyDescent="0.2">
      <c r="A698" s="3" t="s">
        <v>296</v>
      </c>
      <c r="B698" s="3" t="s">
        <v>296</v>
      </c>
      <c r="C698" s="52">
        <v>35144</v>
      </c>
      <c r="D698" s="105">
        <v>57.631700000000002</v>
      </c>
      <c r="E698" s="105">
        <v>11.6076</v>
      </c>
      <c r="F698" s="20">
        <v>8195</v>
      </c>
      <c r="G698" s="18">
        <v>0</v>
      </c>
      <c r="H698" s="53">
        <v>5</v>
      </c>
      <c r="I698" s="167">
        <f t="shared" ref="I698:K698" si="1112">ROUND(0.245*I674+0.755*I722,3)</f>
        <v>-0.56200000000000006</v>
      </c>
      <c r="J698" s="104">
        <f t="shared" si="1112"/>
        <v>0.63200000000000001</v>
      </c>
      <c r="K698" s="104">
        <f t="shared" si="1112"/>
        <v>-6.0999999999999999E-2</v>
      </c>
      <c r="L698" s="105">
        <f t="shared" si="1101"/>
        <v>0.1401</v>
      </c>
      <c r="M698" s="105" t="s">
        <v>282</v>
      </c>
      <c r="N698" s="105" t="s">
        <v>282</v>
      </c>
      <c r="O698" s="20">
        <f t="shared" ref="O698:P698" si="1113">ROUND(0.245*O674+0.755*O722,0)</f>
        <v>180</v>
      </c>
      <c r="P698" s="20">
        <f t="shared" si="1113"/>
        <v>60</v>
      </c>
      <c r="Q698" s="104">
        <f t="shared" si="1103"/>
        <v>1E-3</v>
      </c>
      <c r="R698" s="20">
        <f t="shared" ref="R698:S698" si="1114">ROUND(0.245*R674+0.755*R722,0)</f>
        <v>3</v>
      </c>
      <c r="S698" s="20">
        <f t="shared" si="1114"/>
        <v>1500</v>
      </c>
      <c r="T698" s="104">
        <f t="shared" si="1105"/>
        <v>0.1</v>
      </c>
      <c r="U698" s="123" t="s">
        <v>282</v>
      </c>
      <c r="V698" s="21"/>
      <c r="W698" s="58">
        <f t="shared" si="995"/>
        <v>35144</v>
      </c>
      <c r="X698" s="102">
        <f t="shared" si="996"/>
        <v>57.631700000000002</v>
      </c>
      <c r="Y698" s="102">
        <f t="shared" si="997"/>
        <v>11.6076</v>
      </c>
      <c r="Z698" s="21">
        <f t="shared" si="998"/>
        <v>8195</v>
      </c>
      <c r="AA698" s="44">
        <f t="shared" si="999"/>
        <v>0</v>
      </c>
      <c r="AB698" s="21">
        <f t="shared" si="1099"/>
        <v>5</v>
      </c>
      <c r="AC698" s="119">
        <f>ROUND(I698+mwreg!$G$76/100,3)</f>
        <v>-0.54500000000000004</v>
      </c>
      <c r="AD698" s="108">
        <f>ROUND(J698+mwreg!$G$76/100,3)</f>
        <v>0.64900000000000002</v>
      </c>
      <c r="AE698" s="108">
        <f>ROUND(K698+mwreg!$G$76/100,3)</f>
        <v>-4.3999999999999997E-2</v>
      </c>
      <c r="AF698" s="102">
        <f t="shared" si="1071"/>
        <v>0.1401</v>
      </c>
      <c r="AG698" s="102" t="str">
        <f t="shared" si="1072"/>
        <v>NaN</v>
      </c>
      <c r="AH698" s="109" t="str">
        <f t="shared" si="1030"/>
        <v>NaN</v>
      </c>
      <c r="AI698" s="110">
        <f t="shared" si="1031"/>
        <v>180</v>
      </c>
      <c r="AJ698" s="110">
        <f t="shared" si="1032"/>
        <v>60</v>
      </c>
      <c r="AK698" s="108">
        <f t="shared" si="1033"/>
        <v>1E-3</v>
      </c>
      <c r="AL698" s="110">
        <f t="shared" si="1034"/>
        <v>3</v>
      </c>
      <c r="AM698" s="110">
        <f t="shared" si="1035"/>
        <v>1500</v>
      </c>
      <c r="AN698" s="108">
        <f t="shared" si="1036"/>
        <v>0.1</v>
      </c>
      <c r="AO698" s="186" t="str">
        <f t="shared" si="1056"/>
        <v>NaN</v>
      </c>
    </row>
    <row r="699" spans="1:41" x14ac:dyDescent="0.2">
      <c r="A699" s="3" t="s">
        <v>296</v>
      </c>
      <c r="B699" s="3" t="s">
        <v>296</v>
      </c>
      <c r="C699" s="52">
        <v>35144</v>
      </c>
      <c r="D699" s="105">
        <v>57.631700000000002</v>
      </c>
      <c r="E699" s="105">
        <v>11.6076</v>
      </c>
      <c r="F699" s="20">
        <v>8195</v>
      </c>
      <c r="G699" s="18">
        <v>0</v>
      </c>
      <c r="H699" s="53">
        <v>6</v>
      </c>
      <c r="I699" s="167">
        <f t="shared" ref="I699:K699" si="1115">ROUND(0.245*I675+0.755*I723,3)</f>
        <v>-0.45800000000000002</v>
      </c>
      <c r="J699" s="104">
        <f t="shared" si="1115"/>
        <v>0.71099999999999997</v>
      </c>
      <c r="K699" s="104">
        <f t="shared" si="1115"/>
        <v>-6.0000000000000001E-3</v>
      </c>
      <c r="L699" s="105">
        <f t="shared" si="1101"/>
        <v>0.13289999999999999</v>
      </c>
      <c r="M699" s="105" t="s">
        <v>282</v>
      </c>
      <c r="N699" s="105" t="s">
        <v>282</v>
      </c>
      <c r="O699" s="20">
        <f t="shared" ref="O699:P699" si="1116">ROUND(0.245*O675+0.755*O723,0)</f>
        <v>180</v>
      </c>
      <c r="P699" s="20">
        <f t="shared" si="1116"/>
        <v>60</v>
      </c>
      <c r="Q699" s="104">
        <f t="shared" si="1103"/>
        <v>1E-3</v>
      </c>
      <c r="R699" s="20">
        <f t="shared" ref="R699:S699" si="1117">ROUND(0.245*R675+0.755*R723,0)</f>
        <v>3</v>
      </c>
      <c r="S699" s="20">
        <f t="shared" si="1117"/>
        <v>1500</v>
      </c>
      <c r="T699" s="104">
        <f t="shared" si="1105"/>
        <v>0.1</v>
      </c>
      <c r="U699" s="123" t="s">
        <v>282</v>
      </c>
      <c r="V699" s="21"/>
      <c r="W699" s="58">
        <f t="shared" si="995"/>
        <v>35144</v>
      </c>
      <c r="X699" s="102">
        <f t="shared" si="996"/>
        <v>57.631700000000002</v>
      </c>
      <c r="Y699" s="102">
        <f t="shared" si="997"/>
        <v>11.6076</v>
      </c>
      <c r="Z699" s="21">
        <f t="shared" si="998"/>
        <v>8195</v>
      </c>
      <c r="AA699" s="44">
        <f t="shared" si="999"/>
        <v>0</v>
      </c>
      <c r="AB699" s="21">
        <f t="shared" si="1099"/>
        <v>6</v>
      </c>
      <c r="AC699" s="119">
        <f>ROUND(I699+mwreg!$G$76/100,3)</f>
        <v>-0.441</v>
      </c>
      <c r="AD699" s="108">
        <f>ROUND(J699+mwreg!$G$76/100,3)</f>
        <v>0.72799999999999998</v>
      </c>
      <c r="AE699" s="108">
        <f>ROUND(K699+mwreg!$G$76/100,3)</f>
        <v>1.0999999999999999E-2</v>
      </c>
      <c r="AF699" s="102">
        <f t="shared" si="1071"/>
        <v>0.13289999999999999</v>
      </c>
      <c r="AG699" s="102" t="str">
        <f t="shared" si="1072"/>
        <v>NaN</v>
      </c>
      <c r="AH699" s="109" t="str">
        <f t="shared" si="1030"/>
        <v>NaN</v>
      </c>
      <c r="AI699" s="110">
        <f t="shared" si="1031"/>
        <v>180</v>
      </c>
      <c r="AJ699" s="110">
        <f t="shared" si="1032"/>
        <v>60</v>
      </c>
      <c r="AK699" s="108">
        <f t="shared" si="1033"/>
        <v>1E-3</v>
      </c>
      <c r="AL699" s="110">
        <f t="shared" si="1034"/>
        <v>3</v>
      </c>
      <c r="AM699" s="110">
        <f t="shared" si="1035"/>
        <v>1500</v>
      </c>
      <c r="AN699" s="108">
        <f t="shared" si="1036"/>
        <v>0.1</v>
      </c>
      <c r="AO699" s="186" t="str">
        <f t="shared" si="1056"/>
        <v>NaN</v>
      </c>
    </row>
    <row r="700" spans="1:41" x14ac:dyDescent="0.2">
      <c r="A700" s="3" t="s">
        <v>296</v>
      </c>
      <c r="B700" s="3" t="s">
        <v>296</v>
      </c>
      <c r="C700" s="52">
        <v>35144</v>
      </c>
      <c r="D700" s="105">
        <v>57.631700000000002</v>
      </c>
      <c r="E700" s="105">
        <v>11.6076</v>
      </c>
      <c r="F700" s="20">
        <v>8195</v>
      </c>
      <c r="G700" s="18">
        <v>0</v>
      </c>
      <c r="H700" s="53">
        <v>7</v>
      </c>
      <c r="I700" s="167">
        <f t="shared" ref="I700:K700" si="1118">ROUND(0.245*I676+0.755*I724,3)</f>
        <v>-0.36799999999999999</v>
      </c>
      <c r="J700" s="104">
        <f t="shared" si="1118"/>
        <v>0.78</v>
      </c>
      <c r="K700" s="104">
        <f t="shared" si="1118"/>
        <v>5.2999999999999999E-2</v>
      </c>
      <c r="L700" s="105">
        <f t="shared" si="1101"/>
        <v>0.1298</v>
      </c>
      <c r="M700" s="105" t="s">
        <v>282</v>
      </c>
      <c r="N700" s="105" t="s">
        <v>282</v>
      </c>
      <c r="O700" s="20">
        <f t="shared" ref="O700:P700" si="1119">ROUND(0.245*O676+0.755*O724,0)</f>
        <v>180</v>
      </c>
      <c r="P700" s="20">
        <f t="shared" si="1119"/>
        <v>60</v>
      </c>
      <c r="Q700" s="104">
        <f t="shared" si="1103"/>
        <v>1E-3</v>
      </c>
      <c r="R700" s="20">
        <f t="shared" ref="R700:S700" si="1120">ROUND(0.245*R676+0.755*R724,0)</f>
        <v>3</v>
      </c>
      <c r="S700" s="20">
        <f t="shared" si="1120"/>
        <v>1500</v>
      </c>
      <c r="T700" s="104">
        <f t="shared" si="1105"/>
        <v>0.1</v>
      </c>
      <c r="U700" s="123" t="s">
        <v>282</v>
      </c>
      <c r="V700" s="21"/>
      <c r="W700" s="58">
        <f t="shared" si="995"/>
        <v>35144</v>
      </c>
      <c r="X700" s="102">
        <f t="shared" si="996"/>
        <v>57.631700000000002</v>
      </c>
      <c r="Y700" s="102">
        <f t="shared" si="997"/>
        <v>11.6076</v>
      </c>
      <c r="Z700" s="21">
        <f t="shared" si="998"/>
        <v>8195</v>
      </c>
      <c r="AA700" s="44">
        <f t="shared" si="999"/>
        <v>0</v>
      </c>
      <c r="AB700" s="21">
        <f t="shared" si="1099"/>
        <v>7</v>
      </c>
      <c r="AC700" s="119">
        <f>ROUND(I700+mwreg!$G$76/100,3)</f>
        <v>-0.35099999999999998</v>
      </c>
      <c r="AD700" s="108">
        <f>ROUND(J700+mwreg!$G$76/100,3)</f>
        <v>0.79700000000000004</v>
      </c>
      <c r="AE700" s="108">
        <f>ROUND(K700+mwreg!$G$76/100,3)</f>
        <v>7.0000000000000007E-2</v>
      </c>
      <c r="AF700" s="102">
        <f t="shared" si="1071"/>
        <v>0.1298</v>
      </c>
      <c r="AG700" s="102" t="str">
        <f t="shared" si="1072"/>
        <v>NaN</v>
      </c>
      <c r="AH700" s="109" t="str">
        <f t="shared" si="1030"/>
        <v>NaN</v>
      </c>
      <c r="AI700" s="110">
        <f t="shared" si="1031"/>
        <v>180</v>
      </c>
      <c r="AJ700" s="110">
        <f t="shared" si="1032"/>
        <v>60</v>
      </c>
      <c r="AK700" s="108">
        <f t="shared" si="1033"/>
        <v>1E-3</v>
      </c>
      <c r="AL700" s="110">
        <f t="shared" si="1034"/>
        <v>3</v>
      </c>
      <c r="AM700" s="110">
        <f t="shared" si="1035"/>
        <v>1500</v>
      </c>
      <c r="AN700" s="108">
        <f t="shared" si="1036"/>
        <v>0.1</v>
      </c>
      <c r="AO700" s="186" t="str">
        <f t="shared" si="1056"/>
        <v>NaN</v>
      </c>
    </row>
    <row r="701" spans="1:41" x14ac:dyDescent="0.2">
      <c r="A701" s="3" t="s">
        <v>296</v>
      </c>
      <c r="B701" s="3" t="s">
        <v>296</v>
      </c>
      <c r="C701" s="52">
        <v>35144</v>
      </c>
      <c r="D701" s="105">
        <v>57.631700000000002</v>
      </c>
      <c r="E701" s="105">
        <v>11.6076</v>
      </c>
      <c r="F701" s="20">
        <v>8195</v>
      </c>
      <c r="G701" s="18">
        <v>0</v>
      </c>
      <c r="H701" s="53">
        <v>8</v>
      </c>
      <c r="I701" s="167">
        <f t="shared" ref="I701:K701" si="1121">ROUND(0.245*I677+0.755*I725,3)</f>
        <v>-0.38400000000000001</v>
      </c>
      <c r="J701" s="104">
        <f t="shared" si="1121"/>
        <v>0.86099999999999999</v>
      </c>
      <c r="K701" s="104">
        <f t="shared" si="1121"/>
        <v>7.1999999999999995E-2</v>
      </c>
      <c r="L701" s="105">
        <f t="shared" si="1101"/>
        <v>0.13600000000000001</v>
      </c>
      <c r="M701" s="105" t="s">
        <v>282</v>
      </c>
      <c r="N701" s="105" t="s">
        <v>282</v>
      </c>
      <c r="O701" s="20">
        <f t="shared" ref="O701:P701" si="1122">ROUND(0.245*O677+0.755*O725,0)</f>
        <v>180</v>
      </c>
      <c r="P701" s="20">
        <f t="shared" si="1122"/>
        <v>60</v>
      </c>
      <c r="Q701" s="104">
        <f t="shared" si="1103"/>
        <v>1E-3</v>
      </c>
      <c r="R701" s="20">
        <f t="shared" ref="R701:S701" si="1123">ROUND(0.245*R677+0.755*R725,0)</f>
        <v>3</v>
      </c>
      <c r="S701" s="20">
        <f t="shared" si="1123"/>
        <v>1500</v>
      </c>
      <c r="T701" s="104">
        <f t="shared" si="1105"/>
        <v>0.1</v>
      </c>
      <c r="U701" s="123" t="s">
        <v>282</v>
      </c>
      <c r="V701" s="21"/>
      <c r="W701" s="58">
        <f t="shared" si="995"/>
        <v>35144</v>
      </c>
      <c r="X701" s="102">
        <f t="shared" si="996"/>
        <v>57.631700000000002</v>
      </c>
      <c r="Y701" s="102">
        <f t="shared" si="997"/>
        <v>11.6076</v>
      </c>
      <c r="Z701" s="21">
        <f t="shared" si="998"/>
        <v>8195</v>
      </c>
      <c r="AA701" s="44">
        <f t="shared" si="999"/>
        <v>0</v>
      </c>
      <c r="AB701" s="21">
        <f t="shared" si="1099"/>
        <v>8</v>
      </c>
      <c r="AC701" s="119">
        <f>ROUND(I701+mwreg!$G$76/100,3)</f>
        <v>-0.36699999999999999</v>
      </c>
      <c r="AD701" s="108">
        <f>ROUND(J701+mwreg!$G$76/100,3)</f>
        <v>0.878</v>
      </c>
      <c r="AE701" s="108">
        <f>ROUND(K701+mwreg!$G$76/100,3)</f>
        <v>8.8999999999999996E-2</v>
      </c>
      <c r="AF701" s="102">
        <f t="shared" si="1071"/>
        <v>0.13600000000000001</v>
      </c>
      <c r="AG701" s="102" t="str">
        <f t="shared" si="1072"/>
        <v>NaN</v>
      </c>
      <c r="AH701" s="109" t="str">
        <f t="shared" si="1030"/>
        <v>NaN</v>
      </c>
      <c r="AI701" s="110">
        <f t="shared" si="1031"/>
        <v>180</v>
      </c>
      <c r="AJ701" s="110">
        <f t="shared" si="1032"/>
        <v>60</v>
      </c>
      <c r="AK701" s="108">
        <f t="shared" si="1033"/>
        <v>1E-3</v>
      </c>
      <c r="AL701" s="110">
        <f t="shared" si="1034"/>
        <v>3</v>
      </c>
      <c r="AM701" s="110">
        <f t="shared" si="1035"/>
        <v>1500</v>
      </c>
      <c r="AN701" s="108">
        <f t="shared" si="1036"/>
        <v>0.1</v>
      </c>
      <c r="AO701" s="186" t="str">
        <f t="shared" si="1056"/>
        <v>NaN</v>
      </c>
    </row>
    <row r="702" spans="1:41" x14ac:dyDescent="0.2">
      <c r="A702" s="3" t="s">
        <v>296</v>
      </c>
      <c r="B702" s="3" t="s">
        <v>296</v>
      </c>
      <c r="C702" s="52">
        <v>35144</v>
      </c>
      <c r="D702" s="105">
        <v>57.631700000000002</v>
      </c>
      <c r="E702" s="105">
        <v>11.6076</v>
      </c>
      <c r="F702" s="20">
        <v>8195</v>
      </c>
      <c r="G702" s="18">
        <v>0</v>
      </c>
      <c r="H702" s="53">
        <v>9</v>
      </c>
      <c r="I702" s="167">
        <f t="shared" ref="I702:K702" si="1124">ROUND(0.245*I678+0.755*I726,3)</f>
        <v>-0.52700000000000002</v>
      </c>
      <c r="J702" s="104">
        <f t="shared" si="1124"/>
        <v>1.143</v>
      </c>
      <c r="K702" s="104">
        <f t="shared" si="1124"/>
        <v>9.2999999999999999E-2</v>
      </c>
      <c r="L702" s="105">
        <f t="shared" si="1101"/>
        <v>0.18229999999999999</v>
      </c>
      <c r="M702" s="105" t="s">
        <v>282</v>
      </c>
      <c r="N702" s="105" t="s">
        <v>282</v>
      </c>
      <c r="O702" s="20">
        <f t="shared" ref="O702:P702" si="1125">ROUND(0.245*O678+0.755*O726,0)</f>
        <v>180</v>
      </c>
      <c r="P702" s="20">
        <f t="shared" si="1125"/>
        <v>60</v>
      </c>
      <c r="Q702" s="104">
        <f t="shared" si="1103"/>
        <v>1E-3</v>
      </c>
      <c r="R702" s="20">
        <f t="shared" ref="R702:S702" si="1126">ROUND(0.245*R678+0.755*R726,0)</f>
        <v>3</v>
      </c>
      <c r="S702" s="20">
        <f t="shared" si="1126"/>
        <v>1500</v>
      </c>
      <c r="T702" s="104">
        <f t="shared" si="1105"/>
        <v>0.1</v>
      </c>
      <c r="U702" s="123" t="s">
        <v>282</v>
      </c>
      <c r="V702" s="21"/>
      <c r="W702" s="58">
        <f t="shared" si="995"/>
        <v>35144</v>
      </c>
      <c r="X702" s="102">
        <f t="shared" si="996"/>
        <v>57.631700000000002</v>
      </c>
      <c r="Y702" s="102">
        <f t="shared" si="997"/>
        <v>11.6076</v>
      </c>
      <c r="Z702" s="21">
        <f t="shared" si="998"/>
        <v>8195</v>
      </c>
      <c r="AA702" s="44">
        <f t="shared" si="999"/>
        <v>0</v>
      </c>
      <c r="AB702" s="21">
        <f t="shared" si="1099"/>
        <v>9</v>
      </c>
      <c r="AC702" s="119">
        <f>ROUND(I702+mwreg!$G$76/100,3)</f>
        <v>-0.51</v>
      </c>
      <c r="AD702" s="108">
        <f>ROUND(J702+mwreg!$G$76/100,3)</f>
        <v>1.1599999999999999</v>
      </c>
      <c r="AE702" s="108">
        <f>ROUND(K702+mwreg!$G$76/100,3)</f>
        <v>0.11</v>
      </c>
      <c r="AF702" s="102">
        <f t="shared" si="1071"/>
        <v>0.18229999999999999</v>
      </c>
      <c r="AG702" s="102" t="str">
        <f t="shared" si="1072"/>
        <v>NaN</v>
      </c>
      <c r="AH702" s="109" t="str">
        <f t="shared" si="1030"/>
        <v>NaN</v>
      </c>
      <c r="AI702" s="110">
        <f t="shared" si="1031"/>
        <v>180</v>
      </c>
      <c r="AJ702" s="110">
        <f t="shared" si="1032"/>
        <v>60</v>
      </c>
      <c r="AK702" s="108">
        <f t="shared" si="1033"/>
        <v>1E-3</v>
      </c>
      <c r="AL702" s="110">
        <f t="shared" si="1034"/>
        <v>3</v>
      </c>
      <c r="AM702" s="110">
        <f t="shared" si="1035"/>
        <v>1500</v>
      </c>
      <c r="AN702" s="108">
        <f t="shared" si="1036"/>
        <v>0.1</v>
      </c>
      <c r="AO702" s="186" t="str">
        <f t="shared" si="1056"/>
        <v>NaN</v>
      </c>
    </row>
    <row r="703" spans="1:41" x14ac:dyDescent="0.2">
      <c r="A703" s="3" t="s">
        <v>296</v>
      </c>
      <c r="B703" s="3" t="s">
        <v>296</v>
      </c>
      <c r="C703" s="52">
        <v>35144</v>
      </c>
      <c r="D703" s="105">
        <v>57.631700000000002</v>
      </c>
      <c r="E703" s="105">
        <v>11.6076</v>
      </c>
      <c r="F703" s="20">
        <v>8195</v>
      </c>
      <c r="G703" s="18">
        <v>0</v>
      </c>
      <c r="H703" s="53">
        <v>10</v>
      </c>
      <c r="I703" s="167">
        <f t="shared" ref="I703:K703" si="1127">ROUND(0.245*I679+0.755*I727,3)</f>
        <v>-0.60499999999999998</v>
      </c>
      <c r="J703" s="104">
        <f t="shared" si="1127"/>
        <v>1.2370000000000001</v>
      </c>
      <c r="K703" s="104">
        <f t="shared" si="1127"/>
        <v>8.5999999999999993E-2</v>
      </c>
      <c r="L703" s="105">
        <f t="shared" si="1101"/>
        <v>0.2084</v>
      </c>
      <c r="M703" s="105" t="s">
        <v>282</v>
      </c>
      <c r="N703" s="105" t="s">
        <v>282</v>
      </c>
      <c r="O703" s="20">
        <f t="shared" ref="O703:P703" si="1128">ROUND(0.245*O679+0.755*O727,0)</f>
        <v>180</v>
      </c>
      <c r="P703" s="20">
        <f t="shared" si="1128"/>
        <v>60</v>
      </c>
      <c r="Q703" s="104">
        <f t="shared" si="1103"/>
        <v>1E-3</v>
      </c>
      <c r="R703" s="20">
        <f t="shared" ref="R703:S703" si="1129">ROUND(0.245*R679+0.755*R727,0)</f>
        <v>3</v>
      </c>
      <c r="S703" s="20">
        <f t="shared" si="1129"/>
        <v>1500</v>
      </c>
      <c r="T703" s="104">
        <f t="shared" si="1105"/>
        <v>0.1</v>
      </c>
      <c r="U703" s="123" t="s">
        <v>282</v>
      </c>
      <c r="V703" s="21"/>
      <c r="W703" s="58">
        <f t="shared" si="995"/>
        <v>35144</v>
      </c>
      <c r="X703" s="102">
        <f t="shared" si="996"/>
        <v>57.631700000000002</v>
      </c>
      <c r="Y703" s="102">
        <f t="shared" si="997"/>
        <v>11.6076</v>
      </c>
      <c r="Z703" s="21">
        <f t="shared" si="998"/>
        <v>8195</v>
      </c>
      <c r="AA703" s="44">
        <f t="shared" si="999"/>
        <v>0</v>
      </c>
      <c r="AB703" s="21">
        <f t="shared" si="1099"/>
        <v>10</v>
      </c>
      <c r="AC703" s="119">
        <f>ROUND(I703+mwreg!$G$76/100,3)</f>
        <v>-0.58799999999999997</v>
      </c>
      <c r="AD703" s="108">
        <f>ROUND(J703+mwreg!$G$76/100,3)</f>
        <v>1.254</v>
      </c>
      <c r="AE703" s="108">
        <f>ROUND(K703+mwreg!$G$76/100,3)</f>
        <v>0.10299999999999999</v>
      </c>
      <c r="AF703" s="102">
        <f t="shared" si="1071"/>
        <v>0.2084</v>
      </c>
      <c r="AG703" s="102" t="str">
        <f t="shared" si="1072"/>
        <v>NaN</v>
      </c>
      <c r="AH703" s="109" t="str">
        <f t="shared" si="1030"/>
        <v>NaN</v>
      </c>
      <c r="AI703" s="110">
        <f t="shared" si="1031"/>
        <v>180</v>
      </c>
      <c r="AJ703" s="110">
        <f t="shared" si="1032"/>
        <v>60</v>
      </c>
      <c r="AK703" s="108">
        <f t="shared" si="1033"/>
        <v>1E-3</v>
      </c>
      <c r="AL703" s="110">
        <f t="shared" si="1034"/>
        <v>3</v>
      </c>
      <c r="AM703" s="110">
        <f t="shared" si="1035"/>
        <v>1500</v>
      </c>
      <c r="AN703" s="108">
        <f t="shared" si="1036"/>
        <v>0.1</v>
      </c>
      <c r="AO703" s="186" t="str">
        <f t="shared" si="1056"/>
        <v>NaN</v>
      </c>
    </row>
    <row r="704" spans="1:41" x14ac:dyDescent="0.2">
      <c r="A704" s="3" t="s">
        <v>296</v>
      </c>
      <c r="B704" s="3" t="s">
        <v>296</v>
      </c>
      <c r="C704" s="52">
        <v>35144</v>
      </c>
      <c r="D704" s="105">
        <v>57.631700000000002</v>
      </c>
      <c r="E704" s="105">
        <v>11.6076</v>
      </c>
      <c r="F704" s="20">
        <v>8195</v>
      </c>
      <c r="G704" s="18">
        <v>0</v>
      </c>
      <c r="H704" s="53">
        <v>11</v>
      </c>
      <c r="I704" s="167">
        <f t="shared" ref="I704:K704" si="1130">ROUND(0.245*I680+0.755*I728,3)</f>
        <v>-0.72699999999999998</v>
      </c>
      <c r="J704" s="104">
        <f t="shared" si="1130"/>
        <v>1.4490000000000001</v>
      </c>
      <c r="K704" s="104">
        <f t="shared" si="1130"/>
        <v>0.106</v>
      </c>
      <c r="L704" s="105">
        <f t="shared" si="1101"/>
        <v>0.22489999999999999</v>
      </c>
      <c r="M704" s="105" t="s">
        <v>282</v>
      </c>
      <c r="N704" s="105" t="s">
        <v>282</v>
      </c>
      <c r="O704" s="20">
        <f t="shared" ref="O704:P704" si="1131">ROUND(0.245*O680+0.755*O728,0)</f>
        <v>180</v>
      </c>
      <c r="P704" s="20">
        <f t="shared" si="1131"/>
        <v>60</v>
      </c>
      <c r="Q704" s="104">
        <f t="shared" si="1103"/>
        <v>1E-3</v>
      </c>
      <c r="R704" s="20">
        <f t="shared" ref="R704:S704" si="1132">ROUND(0.245*R680+0.755*R728,0)</f>
        <v>3</v>
      </c>
      <c r="S704" s="20">
        <f t="shared" si="1132"/>
        <v>1500</v>
      </c>
      <c r="T704" s="104">
        <f t="shared" si="1105"/>
        <v>0.1</v>
      </c>
      <c r="U704" s="123" t="s">
        <v>282</v>
      </c>
      <c r="V704" s="21"/>
      <c r="W704" s="58">
        <f t="shared" si="995"/>
        <v>35144</v>
      </c>
      <c r="X704" s="102">
        <f t="shared" si="996"/>
        <v>57.631700000000002</v>
      </c>
      <c r="Y704" s="102">
        <f t="shared" si="997"/>
        <v>11.6076</v>
      </c>
      <c r="Z704" s="21">
        <f t="shared" si="998"/>
        <v>8195</v>
      </c>
      <c r="AA704" s="44">
        <f t="shared" si="999"/>
        <v>0</v>
      </c>
      <c r="AB704" s="21">
        <f t="shared" si="1099"/>
        <v>11</v>
      </c>
      <c r="AC704" s="119">
        <f>ROUND(I704+mwreg!$G$76/100,3)</f>
        <v>-0.71</v>
      </c>
      <c r="AD704" s="108">
        <f>ROUND(J704+mwreg!$G$76/100,3)</f>
        <v>1.466</v>
      </c>
      <c r="AE704" s="108">
        <f>ROUND(K704+mwreg!$G$76/100,3)</f>
        <v>0.123</v>
      </c>
      <c r="AF704" s="102">
        <f t="shared" si="1071"/>
        <v>0.22489999999999999</v>
      </c>
      <c r="AG704" s="102" t="str">
        <f t="shared" si="1072"/>
        <v>NaN</v>
      </c>
      <c r="AH704" s="109" t="str">
        <f t="shared" si="1030"/>
        <v>NaN</v>
      </c>
      <c r="AI704" s="110">
        <f t="shared" si="1031"/>
        <v>180</v>
      </c>
      <c r="AJ704" s="110">
        <f t="shared" si="1032"/>
        <v>60</v>
      </c>
      <c r="AK704" s="108">
        <f t="shared" si="1033"/>
        <v>1E-3</v>
      </c>
      <c r="AL704" s="110">
        <f t="shared" si="1034"/>
        <v>3</v>
      </c>
      <c r="AM704" s="110">
        <f t="shared" si="1035"/>
        <v>1500</v>
      </c>
      <c r="AN704" s="108">
        <f t="shared" si="1036"/>
        <v>0.1</v>
      </c>
      <c r="AO704" s="186" t="str">
        <f t="shared" si="1056"/>
        <v>NaN</v>
      </c>
    </row>
    <row r="705" spans="1:41" x14ac:dyDescent="0.2">
      <c r="A705" s="3" t="s">
        <v>296</v>
      </c>
      <c r="B705" s="3" t="s">
        <v>296</v>
      </c>
      <c r="C705" s="52">
        <v>35144</v>
      </c>
      <c r="D705" s="105">
        <v>57.631700000000002</v>
      </c>
      <c r="E705" s="105">
        <v>11.6076</v>
      </c>
      <c r="F705" s="20">
        <v>8195</v>
      </c>
      <c r="G705" s="18">
        <v>0</v>
      </c>
      <c r="H705" s="53">
        <v>12</v>
      </c>
      <c r="I705" s="167">
        <f t="shared" ref="I705:K705" si="1133">ROUND(0.245*I681+0.755*I729,3)</f>
        <v>-0.85399999999999998</v>
      </c>
      <c r="J705" s="104">
        <f t="shared" si="1133"/>
        <v>1.472</v>
      </c>
      <c r="K705" s="104">
        <f t="shared" si="1133"/>
        <v>9.6000000000000002E-2</v>
      </c>
      <c r="L705" s="105">
        <f t="shared" si="1101"/>
        <v>0.26179999999999998</v>
      </c>
      <c r="M705" s="105" t="s">
        <v>282</v>
      </c>
      <c r="N705" s="105" t="s">
        <v>282</v>
      </c>
      <c r="O705" s="20">
        <f t="shared" ref="O705:P705" si="1134">ROUND(0.245*O681+0.755*O729,0)</f>
        <v>180</v>
      </c>
      <c r="P705" s="20">
        <f t="shared" si="1134"/>
        <v>60</v>
      </c>
      <c r="Q705" s="104">
        <f t="shared" si="1103"/>
        <v>1E-3</v>
      </c>
      <c r="R705" s="20">
        <f t="shared" ref="R705:S705" si="1135">ROUND(0.245*R681+0.755*R729,0)</f>
        <v>3</v>
      </c>
      <c r="S705" s="20">
        <f t="shared" si="1135"/>
        <v>1500</v>
      </c>
      <c r="T705" s="104">
        <f t="shared" si="1105"/>
        <v>0.1</v>
      </c>
      <c r="U705" s="123" t="s">
        <v>282</v>
      </c>
      <c r="V705" s="21"/>
      <c r="W705" s="58">
        <f t="shared" si="995"/>
        <v>35144</v>
      </c>
      <c r="X705" s="102">
        <f t="shared" si="996"/>
        <v>57.631700000000002</v>
      </c>
      <c r="Y705" s="102">
        <f t="shared" si="997"/>
        <v>11.6076</v>
      </c>
      <c r="Z705" s="21">
        <f t="shared" si="998"/>
        <v>8195</v>
      </c>
      <c r="AA705" s="44">
        <f t="shared" si="999"/>
        <v>0</v>
      </c>
      <c r="AB705" s="21">
        <f t="shared" si="1099"/>
        <v>12</v>
      </c>
      <c r="AC705" s="119">
        <f>ROUND(I705+mwreg!$G$76/100,3)</f>
        <v>-0.83699999999999997</v>
      </c>
      <c r="AD705" s="108">
        <f>ROUND(J705+mwreg!$G$76/100,3)</f>
        <v>1.4890000000000001</v>
      </c>
      <c r="AE705" s="108">
        <f>ROUND(K705+mwreg!$G$76/100,3)</f>
        <v>0.113</v>
      </c>
      <c r="AF705" s="102">
        <f t="shared" si="1071"/>
        <v>0.26179999999999998</v>
      </c>
      <c r="AG705" s="102" t="str">
        <f t="shared" si="1072"/>
        <v>NaN</v>
      </c>
      <c r="AH705" s="109" t="str">
        <f t="shared" si="1030"/>
        <v>NaN</v>
      </c>
      <c r="AI705" s="110">
        <f t="shared" si="1031"/>
        <v>180</v>
      </c>
      <c r="AJ705" s="110">
        <f t="shared" si="1032"/>
        <v>60</v>
      </c>
      <c r="AK705" s="108">
        <f t="shared" si="1033"/>
        <v>1E-3</v>
      </c>
      <c r="AL705" s="110">
        <f t="shared" si="1034"/>
        <v>3</v>
      </c>
      <c r="AM705" s="110">
        <f t="shared" si="1035"/>
        <v>1500</v>
      </c>
      <c r="AN705" s="108">
        <f t="shared" si="1036"/>
        <v>0.1</v>
      </c>
      <c r="AO705" s="186" t="str">
        <f t="shared" si="1056"/>
        <v>NaN</v>
      </c>
    </row>
    <row r="706" spans="1:41" x14ac:dyDescent="0.2">
      <c r="A706" s="114" t="s">
        <v>324</v>
      </c>
      <c r="B706" s="3" t="s">
        <v>325</v>
      </c>
      <c r="C706" s="52">
        <v>35171</v>
      </c>
      <c r="D706" s="102">
        <v>57.6723</v>
      </c>
      <c r="E706" s="102">
        <v>11.7075</v>
      </c>
      <c r="F706" s="20">
        <v>8195</v>
      </c>
      <c r="G706" s="18">
        <v>0</v>
      </c>
      <c r="H706" s="53">
        <v>1</v>
      </c>
      <c r="I706" s="167">
        <f t="shared" ref="I706:K717" si="1136">ROUND(0.675*I694+0.325*I718,3)</f>
        <v>-1.1080000000000001</v>
      </c>
      <c r="J706" s="104">
        <f t="shared" si="1136"/>
        <v>1.5189999999999999</v>
      </c>
      <c r="K706" s="104">
        <f t="shared" si="1136"/>
        <v>7.1999999999999995E-2</v>
      </c>
      <c r="L706" s="105">
        <f t="shared" ref="L706:L717" si="1137">ROUND(0.675*L694+0.325*L718,4)</f>
        <v>0.2702</v>
      </c>
      <c r="M706" s="105" t="s">
        <v>282</v>
      </c>
      <c r="N706" s="105" t="s">
        <v>282</v>
      </c>
      <c r="O706" s="20">
        <f>ROUND(0.675*O694+0.325*O718,0)</f>
        <v>180</v>
      </c>
      <c r="P706" s="20">
        <f>ROUND(0.675*P694+0.325*P718,0)</f>
        <v>60</v>
      </c>
      <c r="Q706" s="104">
        <f>ROUND(0.675*Q694+0.325*Q718,3)</f>
        <v>1E-3</v>
      </c>
      <c r="R706" s="20">
        <f>ROUND(0.675*R694+0.325*R718,0)</f>
        <v>3</v>
      </c>
      <c r="S706" s="20">
        <f>ROUND(0.675*S694+0.325*S718,0)</f>
        <v>1500</v>
      </c>
      <c r="T706" s="104">
        <f>ROUND(0.675*T694+0.325*T718,3)</f>
        <v>0.1</v>
      </c>
      <c r="U706" s="123" t="s">
        <v>282</v>
      </c>
      <c r="V706" s="44"/>
      <c r="W706" s="58">
        <f t="shared" ref="W706:W745" si="1138">C706</f>
        <v>35171</v>
      </c>
      <c r="X706" s="102">
        <f t="shared" ref="X706:X745" si="1139">D706</f>
        <v>57.6723</v>
      </c>
      <c r="Y706" s="102">
        <f t="shared" ref="Y706:Y745" si="1140">E706</f>
        <v>11.7075</v>
      </c>
      <c r="Z706" s="21">
        <f t="shared" ref="Z706:Z745" si="1141">F706</f>
        <v>8195</v>
      </c>
      <c r="AA706" s="44">
        <f t="shared" ref="AA706:AA745" si="1142">G706</f>
        <v>0</v>
      </c>
      <c r="AB706" s="21">
        <f t="shared" si="1099"/>
        <v>1</v>
      </c>
      <c r="AC706" s="119">
        <f>ROUND(I706+mwreg!$G$77/100,3)</f>
        <v>-1.0880000000000001</v>
      </c>
      <c r="AD706" s="108">
        <f>ROUND(J706+mwreg!$G$77/100,3)</f>
        <v>1.5389999999999999</v>
      </c>
      <c r="AE706" s="108">
        <f>ROUND(K706+mwreg!$G$77/100,3)</f>
        <v>9.1999999999999998E-2</v>
      </c>
      <c r="AF706" s="102">
        <f t="shared" si="1071"/>
        <v>0.2702</v>
      </c>
      <c r="AG706" s="102" t="str">
        <f t="shared" si="1072"/>
        <v>NaN</v>
      </c>
      <c r="AH706" s="109" t="str">
        <f t="shared" si="1030"/>
        <v>NaN</v>
      </c>
      <c r="AI706" s="110">
        <f t="shared" si="1031"/>
        <v>180</v>
      </c>
      <c r="AJ706" s="110">
        <f t="shared" si="1032"/>
        <v>60</v>
      </c>
      <c r="AK706" s="108">
        <f t="shared" si="1033"/>
        <v>1E-3</v>
      </c>
      <c r="AL706" s="110">
        <f t="shared" si="1034"/>
        <v>3</v>
      </c>
      <c r="AM706" s="110">
        <f t="shared" si="1035"/>
        <v>1500</v>
      </c>
      <c r="AN706" s="108">
        <f t="shared" si="1036"/>
        <v>0.1</v>
      </c>
      <c r="AO706" s="186" t="str">
        <f t="shared" si="1056"/>
        <v>NaN</v>
      </c>
    </row>
    <row r="707" spans="1:41" x14ac:dyDescent="0.2">
      <c r="A707" s="3" t="s">
        <v>296</v>
      </c>
      <c r="B707" s="3" t="s">
        <v>296</v>
      </c>
      <c r="C707" s="52">
        <v>35171</v>
      </c>
      <c r="D707" s="102">
        <v>57.6723</v>
      </c>
      <c r="E707" s="102">
        <v>11.7075</v>
      </c>
      <c r="F707" s="20">
        <v>8195</v>
      </c>
      <c r="G707" s="18">
        <v>0</v>
      </c>
      <c r="H707" s="53">
        <v>2</v>
      </c>
      <c r="I707" s="167">
        <f t="shared" si="1136"/>
        <v>-0.84299999999999997</v>
      </c>
      <c r="J707" s="104">
        <f t="shared" si="1136"/>
        <v>1.343</v>
      </c>
      <c r="K707" s="104">
        <f t="shared" si="1136"/>
        <v>-1.4999999999999999E-2</v>
      </c>
      <c r="L707" s="105">
        <f t="shared" si="1137"/>
        <v>0.2485</v>
      </c>
      <c r="M707" s="105" t="s">
        <v>282</v>
      </c>
      <c r="N707" s="105" t="s">
        <v>282</v>
      </c>
      <c r="O707" s="20">
        <f t="shared" ref="O707:P707" si="1143">ROUND(0.675*O695+0.325*O719,0)</f>
        <v>180</v>
      </c>
      <c r="P707" s="20">
        <f t="shared" si="1143"/>
        <v>60</v>
      </c>
      <c r="Q707" s="104">
        <f t="shared" ref="Q707:Q717" si="1144">ROUND(0.675*Q695+0.325*Q719,3)</f>
        <v>1E-3</v>
      </c>
      <c r="R707" s="20">
        <f t="shared" ref="R707:S707" si="1145">ROUND(0.675*R695+0.325*R719,0)</f>
        <v>3</v>
      </c>
      <c r="S707" s="20">
        <f t="shared" si="1145"/>
        <v>1500</v>
      </c>
      <c r="T707" s="104">
        <f t="shared" ref="T707:T717" si="1146">ROUND(0.675*T695+0.325*T719,3)</f>
        <v>0.1</v>
      </c>
      <c r="U707" s="123" t="s">
        <v>282</v>
      </c>
      <c r="V707" s="44"/>
      <c r="W707" s="58">
        <f t="shared" si="1138"/>
        <v>35171</v>
      </c>
      <c r="X707" s="102">
        <f t="shared" si="1139"/>
        <v>57.6723</v>
      </c>
      <c r="Y707" s="102">
        <f t="shared" si="1140"/>
        <v>11.7075</v>
      </c>
      <c r="Z707" s="21">
        <f t="shared" si="1141"/>
        <v>8195</v>
      </c>
      <c r="AA707" s="44">
        <f t="shared" si="1142"/>
        <v>0</v>
      </c>
      <c r="AB707" s="21">
        <f t="shared" si="1099"/>
        <v>2</v>
      </c>
      <c r="AC707" s="119">
        <f>ROUND(I707+mwreg!$G$77/100,3)</f>
        <v>-0.82299999999999995</v>
      </c>
      <c r="AD707" s="108">
        <f>ROUND(J707+mwreg!$G$77/100,3)</f>
        <v>1.363</v>
      </c>
      <c r="AE707" s="108">
        <f>ROUND(K707+mwreg!$G$77/100,3)</f>
        <v>5.0000000000000001E-3</v>
      </c>
      <c r="AF707" s="102">
        <f t="shared" si="1071"/>
        <v>0.2485</v>
      </c>
      <c r="AG707" s="102" t="str">
        <f t="shared" si="1072"/>
        <v>NaN</v>
      </c>
      <c r="AH707" s="109" t="str">
        <f t="shared" si="1030"/>
        <v>NaN</v>
      </c>
      <c r="AI707" s="110">
        <f t="shared" si="1031"/>
        <v>180</v>
      </c>
      <c r="AJ707" s="110">
        <f t="shared" si="1032"/>
        <v>60</v>
      </c>
      <c r="AK707" s="108">
        <f t="shared" si="1033"/>
        <v>1E-3</v>
      </c>
      <c r="AL707" s="110">
        <f t="shared" si="1034"/>
        <v>3</v>
      </c>
      <c r="AM707" s="110">
        <f t="shared" si="1035"/>
        <v>1500</v>
      </c>
      <c r="AN707" s="108">
        <f t="shared" si="1036"/>
        <v>0.1</v>
      </c>
      <c r="AO707" s="186" t="str">
        <f t="shared" si="1056"/>
        <v>NaN</v>
      </c>
    </row>
    <row r="708" spans="1:41" x14ac:dyDescent="0.2">
      <c r="A708" s="3" t="s">
        <v>296</v>
      </c>
      <c r="B708" s="3" t="s">
        <v>296</v>
      </c>
      <c r="C708" s="52">
        <v>35171</v>
      </c>
      <c r="D708" s="102">
        <v>57.6723</v>
      </c>
      <c r="E708" s="102">
        <v>11.7075</v>
      </c>
      <c r="F708" s="20">
        <v>8195</v>
      </c>
      <c r="G708" s="18">
        <v>0</v>
      </c>
      <c r="H708" s="53">
        <v>3</v>
      </c>
      <c r="I708" s="167">
        <f t="shared" si="1136"/>
        <v>-0.79500000000000004</v>
      </c>
      <c r="J708" s="104">
        <f t="shared" si="1136"/>
        <v>1.26</v>
      </c>
      <c r="K708" s="104">
        <f t="shared" si="1136"/>
        <v>-5.6000000000000001E-2</v>
      </c>
      <c r="L708" s="105">
        <f t="shared" si="1137"/>
        <v>0.2233</v>
      </c>
      <c r="M708" s="105" t="s">
        <v>282</v>
      </c>
      <c r="N708" s="105" t="s">
        <v>282</v>
      </c>
      <c r="O708" s="20">
        <f t="shared" ref="O708:P708" si="1147">ROUND(0.675*O696+0.325*O720,0)</f>
        <v>180</v>
      </c>
      <c r="P708" s="20">
        <f t="shared" si="1147"/>
        <v>60</v>
      </c>
      <c r="Q708" s="104">
        <f t="shared" si="1144"/>
        <v>1E-3</v>
      </c>
      <c r="R708" s="20">
        <f t="shared" ref="R708:S708" si="1148">ROUND(0.675*R696+0.325*R720,0)</f>
        <v>3</v>
      </c>
      <c r="S708" s="20">
        <f t="shared" si="1148"/>
        <v>1500</v>
      </c>
      <c r="T708" s="104">
        <f t="shared" si="1146"/>
        <v>0.1</v>
      </c>
      <c r="U708" s="123" t="s">
        <v>282</v>
      </c>
      <c r="V708" s="44"/>
      <c r="W708" s="58">
        <f t="shared" si="1138"/>
        <v>35171</v>
      </c>
      <c r="X708" s="102">
        <f t="shared" si="1139"/>
        <v>57.6723</v>
      </c>
      <c r="Y708" s="102">
        <f t="shared" si="1140"/>
        <v>11.7075</v>
      </c>
      <c r="Z708" s="21">
        <f t="shared" si="1141"/>
        <v>8195</v>
      </c>
      <c r="AA708" s="44">
        <f t="shared" si="1142"/>
        <v>0</v>
      </c>
      <c r="AB708" s="21">
        <f t="shared" si="1099"/>
        <v>3</v>
      </c>
      <c r="AC708" s="119">
        <f>ROUND(I708+mwreg!$G$77/100,3)</f>
        <v>-0.77500000000000002</v>
      </c>
      <c r="AD708" s="108">
        <f>ROUND(J708+mwreg!$G$77/100,3)</f>
        <v>1.28</v>
      </c>
      <c r="AE708" s="108">
        <f>ROUND(K708+mwreg!$G$77/100,3)</f>
        <v>-3.5999999999999997E-2</v>
      </c>
      <c r="AF708" s="102">
        <f t="shared" si="1071"/>
        <v>0.2233</v>
      </c>
      <c r="AG708" s="102" t="str">
        <f t="shared" si="1072"/>
        <v>NaN</v>
      </c>
      <c r="AH708" s="109" t="str">
        <f t="shared" si="1030"/>
        <v>NaN</v>
      </c>
      <c r="AI708" s="110">
        <f t="shared" si="1031"/>
        <v>180</v>
      </c>
      <c r="AJ708" s="110">
        <f t="shared" si="1032"/>
        <v>60</v>
      </c>
      <c r="AK708" s="108">
        <f t="shared" si="1033"/>
        <v>1E-3</v>
      </c>
      <c r="AL708" s="110">
        <f t="shared" si="1034"/>
        <v>3</v>
      </c>
      <c r="AM708" s="110">
        <f t="shared" si="1035"/>
        <v>1500</v>
      </c>
      <c r="AN708" s="108">
        <f t="shared" si="1036"/>
        <v>0.1</v>
      </c>
      <c r="AO708" s="186" t="str">
        <f t="shared" si="1056"/>
        <v>NaN</v>
      </c>
    </row>
    <row r="709" spans="1:41" x14ac:dyDescent="0.2">
      <c r="A709" s="3" t="s">
        <v>296</v>
      </c>
      <c r="B709" s="3" t="s">
        <v>296</v>
      </c>
      <c r="C709" s="52">
        <v>35171</v>
      </c>
      <c r="D709" s="102">
        <v>57.6723</v>
      </c>
      <c r="E709" s="102">
        <v>11.7075</v>
      </c>
      <c r="F709" s="20">
        <v>8195</v>
      </c>
      <c r="G709" s="18">
        <v>0</v>
      </c>
      <c r="H709" s="53">
        <v>4</v>
      </c>
      <c r="I709" s="167">
        <f t="shared" si="1136"/>
        <v>-0.71099999999999997</v>
      </c>
      <c r="J709" s="104">
        <f t="shared" si="1136"/>
        <v>0.84599999999999997</v>
      </c>
      <c r="K709" s="104">
        <f t="shared" si="1136"/>
        <v>-8.5999999999999993E-2</v>
      </c>
      <c r="L709" s="105">
        <f t="shared" si="1137"/>
        <v>0.15459999999999999</v>
      </c>
      <c r="M709" s="105" t="s">
        <v>282</v>
      </c>
      <c r="N709" s="105" t="s">
        <v>282</v>
      </c>
      <c r="O709" s="20">
        <f t="shared" ref="O709:P709" si="1149">ROUND(0.675*O697+0.325*O721,0)</f>
        <v>180</v>
      </c>
      <c r="P709" s="20">
        <f t="shared" si="1149"/>
        <v>60</v>
      </c>
      <c r="Q709" s="104">
        <f t="shared" si="1144"/>
        <v>1E-3</v>
      </c>
      <c r="R709" s="20">
        <f t="shared" ref="R709:S709" si="1150">ROUND(0.675*R697+0.325*R721,0)</f>
        <v>3</v>
      </c>
      <c r="S709" s="20">
        <f t="shared" si="1150"/>
        <v>1500</v>
      </c>
      <c r="T709" s="104">
        <f t="shared" si="1146"/>
        <v>0.1</v>
      </c>
      <c r="U709" s="123" t="s">
        <v>282</v>
      </c>
      <c r="V709" s="44"/>
      <c r="W709" s="58">
        <f t="shared" si="1138"/>
        <v>35171</v>
      </c>
      <c r="X709" s="102">
        <f t="shared" si="1139"/>
        <v>57.6723</v>
      </c>
      <c r="Y709" s="102">
        <f t="shared" si="1140"/>
        <v>11.7075</v>
      </c>
      <c r="Z709" s="21">
        <f t="shared" si="1141"/>
        <v>8195</v>
      </c>
      <c r="AA709" s="44">
        <f t="shared" si="1142"/>
        <v>0</v>
      </c>
      <c r="AB709" s="21">
        <f t="shared" si="1099"/>
        <v>4</v>
      </c>
      <c r="AC709" s="119">
        <f>ROUND(I709+mwreg!$G$77/100,3)</f>
        <v>-0.69099999999999995</v>
      </c>
      <c r="AD709" s="108">
        <f>ROUND(J709+mwreg!$G$77/100,3)</f>
        <v>0.86599999999999999</v>
      </c>
      <c r="AE709" s="108">
        <f>ROUND(K709+mwreg!$G$77/100,3)</f>
        <v>-6.6000000000000003E-2</v>
      </c>
      <c r="AF709" s="102">
        <f t="shared" si="1071"/>
        <v>0.15459999999999999</v>
      </c>
      <c r="AG709" s="102" t="str">
        <f t="shared" si="1072"/>
        <v>NaN</v>
      </c>
      <c r="AH709" s="109" t="str">
        <f t="shared" si="1030"/>
        <v>NaN</v>
      </c>
      <c r="AI709" s="110">
        <f t="shared" si="1031"/>
        <v>180</v>
      </c>
      <c r="AJ709" s="110">
        <f t="shared" si="1032"/>
        <v>60</v>
      </c>
      <c r="AK709" s="108">
        <f t="shared" si="1033"/>
        <v>1E-3</v>
      </c>
      <c r="AL709" s="110">
        <f t="shared" si="1034"/>
        <v>3</v>
      </c>
      <c r="AM709" s="110">
        <f t="shared" si="1035"/>
        <v>1500</v>
      </c>
      <c r="AN709" s="108">
        <f t="shared" si="1036"/>
        <v>0.1</v>
      </c>
      <c r="AO709" s="186" t="str">
        <f t="shared" si="1056"/>
        <v>NaN</v>
      </c>
    </row>
    <row r="710" spans="1:41" x14ac:dyDescent="0.2">
      <c r="A710" s="3" t="s">
        <v>296</v>
      </c>
      <c r="B710" s="3" t="s">
        <v>296</v>
      </c>
      <c r="C710" s="52">
        <v>35171</v>
      </c>
      <c r="D710" s="102">
        <v>57.6723</v>
      </c>
      <c r="E710" s="102">
        <v>11.7075</v>
      </c>
      <c r="F710" s="20">
        <v>8195</v>
      </c>
      <c r="G710" s="18">
        <v>0</v>
      </c>
      <c r="H710" s="53">
        <v>5</v>
      </c>
      <c r="I710" s="167">
        <f t="shared" si="1136"/>
        <v>-0.56399999999999995</v>
      </c>
      <c r="J710" s="104">
        <f t="shared" si="1136"/>
        <v>0.63400000000000001</v>
      </c>
      <c r="K710" s="104">
        <f t="shared" si="1136"/>
        <v>-6.0999999999999999E-2</v>
      </c>
      <c r="L710" s="105">
        <f t="shared" si="1137"/>
        <v>0.14119999999999999</v>
      </c>
      <c r="M710" s="105" t="s">
        <v>282</v>
      </c>
      <c r="N710" s="105" t="s">
        <v>282</v>
      </c>
      <c r="O710" s="20">
        <f t="shared" ref="O710:P710" si="1151">ROUND(0.675*O698+0.325*O722,0)</f>
        <v>180</v>
      </c>
      <c r="P710" s="20">
        <f t="shared" si="1151"/>
        <v>60</v>
      </c>
      <c r="Q710" s="104">
        <f t="shared" si="1144"/>
        <v>1E-3</v>
      </c>
      <c r="R710" s="20">
        <f t="shared" ref="R710:S710" si="1152">ROUND(0.675*R698+0.325*R722,0)</f>
        <v>3</v>
      </c>
      <c r="S710" s="20">
        <f t="shared" si="1152"/>
        <v>1500</v>
      </c>
      <c r="T710" s="104">
        <f t="shared" si="1146"/>
        <v>0.1</v>
      </c>
      <c r="U710" s="123" t="s">
        <v>282</v>
      </c>
      <c r="V710" s="44"/>
      <c r="W710" s="58">
        <f t="shared" si="1138"/>
        <v>35171</v>
      </c>
      <c r="X710" s="102">
        <f t="shared" si="1139"/>
        <v>57.6723</v>
      </c>
      <c r="Y710" s="102">
        <f t="shared" si="1140"/>
        <v>11.7075</v>
      </c>
      <c r="Z710" s="21">
        <f t="shared" si="1141"/>
        <v>8195</v>
      </c>
      <c r="AA710" s="44">
        <f t="shared" si="1142"/>
        <v>0</v>
      </c>
      <c r="AB710" s="21">
        <f t="shared" si="1099"/>
        <v>5</v>
      </c>
      <c r="AC710" s="119">
        <f>ROUND(I710+mwreg!$G$77/100,3)</f>
        <v>-0.54400000000000004</v>
      </c>
      <c r="AD710" s="108">
        <f>ROUND(J710+mwreg!$G$77/100,3)</f>
        <v>0.65400000000000003</v>
      </c>
      <c r="AE710" s="108">
        <f>ROUND(K710+mwreg!$G$77/100,3)</f>
        <v>-4.1000000000000002E-2</v>
      </c>
      <c r="AF710" s="102">
        <f t="shared" si="1071"/>
        <v>0.14119999999999999</v>
      </c>
      <c r="AG710" s="102" t="str">
        <f t="shared" si="1072"/>
        <v>NaN</v>
      </c>
      <c r="AH710" s="109" t="str">
        <f t="shared" si="1030"/>
        <v>NaN</v>
      </c>
      <c r="AI710" s="110">
        <f t="shared" si="1031"/>
        <v>180</v>
      </c>
      <c r="AJ710" s="110">
        <f t="shared" si="1032"/>
        <v>60</v>
      </c>
      <c r="AK710" s="108">
        <f t="shared" si="1033"/>
        <v>1E-3</v>
      </c>
      <c r="AL710" s="110">
        <f t="shared" si="1034"/>
        <v>3</v>
      </c>
      <c r="AM710" s="110">
        <f t="shared" si="1035"/>
        <v>1500</v>
      </c>
      <c r="AN710" s="108">
        <f t="shared" si="1036"/>
        <v>0.1</v>
      </c>
      <c r="AO710" s="186" t="str">
        <f t="shared" si="1056"/>
        <v>NaN</v>
      </c>
    </row>
    <row r="711" spans="1:41" x14ac:dyDescent="0.2">
      <c r="A711" s="3" t="s">
        <v>296</v>
      </c>
      <c r="B711" s="3" t="s">
        <v>296</v>
      </c>
      <c r="C711" s="52">
        <v>35171</v>
      </c>
      <c r="D711" s="102">
        <v>57.6723</v>
      </c>
      <c r="E711" s="102">
        <v>11.7075</v>
      </c>
      <c r="F711" s="20">
        <v>8195</v>
      </c>
      <c r="G711" s="18">
        <v>0</v>
      </c>
      <c r="H711" s="53">
        <v>6</v>
      </c>
      <c r="I711" s="167">
        <f t="shared" si="1136"/>
        <v>-0.46200000000000002</v>
      </c>
      <c r="J711" s="104">
        <f t="shared" si="1136"/>
        <v>0.71</v>
      </c>
      <c r="K711" s="104">
        <f t="shared" si="1136"/>
        <v>-6.0000000000000001E-3</v>
      </c>
      <c r="L711" s="105">
        <f t="shared" si="1137"/>
        <v>0.13439999999999999</v>
      </c>
      <c r="M711" s="105" t="s">
        <v>282</v>
      </c>
      <c r="N711" s="105" t="s">
        <v>282</v>
      </c>
      <c r="O711" s="20">
        <f t="shared" ref="O711:P711" si="1153">ROUND(0.675*O699+0.325*O723,0)</f>
        <v>180</v>
      </c>
      <c r="P711" s="20">
        <f t="shared" si="1153"/>
        <v>60</v>
      </c>
      <c r="Q711" s="104">
        <f t="shared" si="1144"/>
        <v>1E-3</v>
      </c>
      <c r="R711" s="20">
        <f t="shared" ref="R711:S711" si="1154">ROUND(0.675*R699+0.325*R723,0)</f>
        <v>3</v>
      </c>
      <c r="S711" s="20">
        <f t="shared" si="1154"/>
        <v>1500</v>
      </c>
      <c r="T711" s="104">
        <f t="shared" si="1146"/>
        <v>0.1</v>
      </c>
      <c r="U711" s="123" t="s">
        <v>282</v>
      </c>
      <c r="V711" s="44"/>
      <c r="W711" s="58">
        <f t="shared" si="1138"/>
        <v>35171</v>
      </c>
      <c r="X711" s="102">
        <f t="shared" si="1139"/>
        <v>57.6723</v>
      </c>
      <c r="Y711" s="102">
        <f t="shared" si="1140"/>
        <v>11.7075</v>
      </c>
      <c r="Z711" s="21">
        <f t="shared" si="1141"/>
        <v>8195</v>
      </c>
      <c r="AA711" s="44">
        <f t="shared" si="1142"/>
        <v>0</v>
      </c>
      <c r="AB711" s="21">
        <f t="shared" si="1099"/>
        <v>6</v>
      </c>
      <c r="AC711" s="119">
        <f>ROUND(I711+mwreg!$G$77/100,3)</f>
        <v>-0.442</v>
      </c>
      <c r="AD711" s="108">
        <f>ROUND(J711+mwreg!$G$77/100,3)</f>
        <v>0.73</v>
      </c>
      <c r="AE711" s="108">
        <f>ROUND(K711+mwreg!$G$77/100,3)</f>
        <v>1.4E-2</v>
      </c>
      <c r="AF711" s="102">
        <f t="shared" si="1071"/>
        <v>0.13439999999999999</v>
      </c>
      <c r="AG711" s="102" t="str">
        <f t="shared" si="1072"/>
        <v>NaN</v>
      </c>
      <c r="AH711" s="109" t="str">
        <f t="shared" si="1030"/>
        <v>NaN</v>
      </c>
      <c r="AI711" s="110">
        <f t="shared" si="1031"/>
        <v>180</v>
      </c>
      <c r="AJ711" s="110">
        <f t="shared" si="1032"/>
        <v>60</v>
      </c>
      <c r="AK711" s="108">
        <f t="shared" si="1033"/>
        <v>1E-3</v>
      </c>
      <c r="AL711" s="110">
        <f t="shared" si="1034"/>
        <v>3</v>
      </c>
      <c r="AM711" s="110">
        <f t="shared" si="1035"/>
        <v>1500</v>
      </c>
      <c r="AN711" s="108">
        <f t="shared" si="1036"/>
        <v>0.1</v>
      </c>
      <c r="AO711" s="186" t="str">
        <f t="shared" si="1056"/>
        <v>NaN</v>
      </c>
    </row>
    <row r="712" spans="1:41" x14ac:dyDescent="0.2">
      <c r="A712" s="3" t="s">
        <v>296</v>
      </c>
      <c r="B712" s="3" t="s">
        <v>296</v>
      </c>
      <c r="C712" s="52">
        <v>35171</v>
      </c>
      <c r="D712" s="102">
        <v>57.6723</v>
      </c>
      <c r="E712" s="102">
        <v>11.7075</v>
      </c>
      <c r="F712" s="20">
        <v>8195</v>
      </c>
      <c r="G712" s="18">
        <v>0</v>
      </c>
      <c r="H712" s="53">
        <v>7</v>
      </c>
      <c r="I712" s="167">
        <f t="shared" si="1136"/>
        <v>-0.371</v>
      </c>
      <c r="J712" s="104">
        <f t="shared" si="1136"/>
        <v>0.78200000000000003</v>
      </c>
      <c r="K712" s="104">
        <f t="shared" si="1136"/>
        <v>5.0999999999999997E-2</v>
      </c>
      <c r="L712" s="105">
        <f t="shared" si="1137"/>
        <v>0.1305</v>
      </c>
      <c r="M712" s="105" t="s">
        <v>282</v>
      </c>
      <c r="N712" s="105" t="s">
        <v>282</v>
      </c>
      <c r="O712" s="20">
        <f t="shared" ref="O712:P712" si="1155">ROUND(0.675*O700+0.325*O724,0)</f>
        <v>180</v>
      </c>
      <c r="P712" s="20">
        <f t="shared" si="1155"/>
        <v>60</v>
      </c>
      <c r="Q712" s="104">
        <f t="shared" si="1144"/>
        <v>1E-3</v>
      </c>
      <c r="R712" s="20">
        <f t="shared" ref="R712:S712" si="1156">ROUND(0.675*R700+0.325*R724,0)</f>
        <v>3</v>
      </c>
      <c r="S712" s="20">
        <f t="shared" si="1156"/>
        <v>1500</v>
      </c>
      <c r="T712" s="104">
        <f t="shared" si="1146"/>
        <v>0.1</v>
      </c>
      <c r="U712" s="123" t="s">
        <v>282</v>
      </c>
      <c r="V712" s="44"/>
      <c r="W712" s="58">
        <f t="shared" si="1138"/>
        <v>35171</v>
      </c>
      <c r="X712" s="102">
        <f t="shared" si="1139"/>
        <v>57.6723</v>
      </c>
      <c r="Y712" s="102">
        <f t="shared" si="1140"/>
        <v>11.7075</v>
      </c>
      <c r="Z712" s="21">
        <f t="shared" si="1141"/>
        <v>8195</v>
      </c>
      <c r="AA712" s="44">
        <f t="shared" si="1142"/>
        <v>0</v>
      </c>
      <c r="AB712" s="21">
        <f t="shared" si="1099"/>
        <v>7</v>
      </c>
      <c r="AC712" s="119">
        <f>ROUND(I712+mwreg!$G$77/100,3)</f>
        <v>-0.35099999999999998</v>
      </c>
      <c r="AD712" s="108">
        <f>ROUND(J712+mwreg!$G$77/100,3)</f>
        <v>0.80200000000000005</v>
      </c>
      <c r="AE712" s="108">
        <f>ROUND(K712+mwreg!$G$77/100,3)</f>
        <v>7.0999999999999994E-2</v>
      </c>
      <c r="AF712" s="102">
        <f t="shared" si="1071"/>
        <v>0.1305</v>
      </c>
      <c r="AG712" s="102" t="str">
        <f t="shared" si="1072"/>
        <v>NaN</v>
      </c>
      <c r="AH712" s="109" t="str">
        <f t="shared" si="1030"/>
        <v>NaN</v>
      </c>
      <c r="AI712" s="110">
        <f t="shared" si="1031"/>
        <v>180</v>
      </c>
      <c r="AJ712" s="110">
        <f t="shared" si="1032"/>
        <v>60</v>
      </c>
      <c r="AK712" s="108">
        <f t="shared" si="1033"/>
        <v>1E-3</v>
      </c>
      <c r="AL712" s="110">
        <f t="shared" si="1034"/>
        <v>3</v>
      </c>
      <c r="AM712" s="110">
        <f t="shared" si="1035"/>
        <v>1500</v>
      </c>
      <c r="AN712" s="108">
        <f t="shared" si="1036"/>
        <v>0.1</v>
      </c>
      <c r="AO712" s="186" t="str">
        <f t="shared" si="1056"/>
        <v>NaN</v>
      </c>
    </row>
    <row r="713" spans="1:41" x14ac:dyDescent="0.2">
      <c r="A713" s="3" t="s">
        <v>296</v>
      </c>
      <c r="B713" s="3" t="s">
        <v>296</v>
      </c>
      <c r="C713" s="52">
        <v>35171</v>
      </c>
      <c r="D713" s="102">
        <v>57.6723</v>
      </c>
      <c r="E713" s="102">
        <v>11.7075</v>
      </c>
      <c r="F713" s="20">
        <v>8195</v>
      </c>
      <c r="G713" s="18">
        <v>0</v>
      </c>
      <c r="H713" s="53">
        <v>8</v>
      </c>
      <c r="I713" s="167">
        <f t="shared" si="1136"/>
        <v>-0.39100000000000001</v>
      </c>
      <c r="J713" s="104">
        <f t="shared" si="1136"/>
        <v>0.85099999999999998</v>
      </c>
      <c r="K713" s="104">
        <f t="shared" si="1136"/>
        <v>7.1999999999999995E-2</v>
      </c>
      <c r="L713" s="105">
        <f t="shared" si="1137"/>
        <v>0.13750000000000001</v>
      </c>
      <c r="M713" s="105" t="s">
        <v>282</v>
      </c>
      <c r="N713" s="105" t="s">
        <v>282</v>
      </c>
      <c r="O713" s="20">
        <f t="shared" ref="O713:P713" si="1157">ROUND(0.675*O701+0.325*O725,0)</f>
        <v>180</v>
      </c>
      <c r="P713" s="20">
        <f t="shared" si="1157"/>
        <v>60</v>
      </c>
      <c r="Q713" s="104">
        <f t="shared" si="1144"/>
        <v>1E-3</v>
      </c>
      <c r="R713" s="20">
        <f t="shared" ref="R713:S713" si="1158">ROUND(0.675*R701+0.325*R725,0)</f>
        <v>3</v>
      </c>
      <c r="S713" s="20">
        <f t="shared" si="1158"/>
        <v>1500</v>
      </c>
      <c r="T713" s="104">
        <f t="shared" si="1146"/>
        <v>0.1</v>
      </c>
      <c r="U713" s="123" t="s">
        <v>282</v>
      </c>
      <c r="V713" s="44"/>
      <c r="W713" s="58">
        <f t="shared" si="1138"/>
        <v>35171</v>
      </c>
      <c r="X713" s="102">
        <f t="shared" si="1139"/>
        <v>57.6723</v>
      </c>
      <c r="Y713" s="102">
        <f t="shared" si="1140"/>
        <v>11.7075</v>
      </c>
      <c r="Z713" s="21">
        <f t="shared" si="1141"/>
        <v>8195</v>
      </c>
      <c r="AA713" s="44">
        <f t="shared" si="1142"/>
        <v>0</v>
      </c>
      <c r="AB713" s="21">
        <f t="shared" si="1099"/>
        <v>8</v>
      </c>
      <c r="AC713" s="119">
        <f>ROUND(I713+mwreg!$G$77/100,3)</f>
        <v>-0.371</v>
      </c>
      <c r="AD713" s="108">
        <f>ROUND(J713+mwreg!$G$77/100,3)</f>
        <v>0.871</v>
      </c>
      <c r="AE713" s="108">
        <f>ROUND(K713+mwreg!$G$77/100,3)</f>
        <v>9.1999999999999998E-2</v>
      </c>
      <c r="AF713" s="102">
        <f t="shared" si="1071"/>
        <v>0.13750000000000001</v>
      </c>
      <c r="AG713" s="102" t="str">
        <f t="shared" si="1072"/>
        <v>NaN</v>
      </c>
      <c r="AH713" s="109" t="str">
        <f t="shared" si="1030"/>
        <v>NaN</v>
      </c>
      <c r="AI713" s="110">
        <f t="shared" si="1031"/>
        <v>180</v>
      </c>
      <c r="AJ713" s="110">
        <f t="shared" si="1032"/>
        <v>60</v>
      </c>
      <c r="AK713" s="108">
        <f t="shared" si="1033"/>
        <v>1E-3</v>
      </c>
      <c r="AL713" s="110">
        <f t="shared" si="1034"/>
        <v>3</v>
      </c>
      <c r="AM713" s="110">
        <f t="shared" si="1035"/>
        <v>1500</v>
      </c>
      <c r="AN713" s="108">
        <f t="shared" si="1036"/>
        <v>0.1</v>
      </c>
      <c r="AO713" s="186" t="str">
        <f t="shared" si="1056"/>
        <v>NaN</v>
      </c>
    </row>
    <row r="714" spans="1:41" x14ac:dyDescent="0.2">
      <c r="A714" s="3" t="s">
        <v>296</v>
      </c>
      <c r="B714" s="3" t="s">
        <v>296</v>
      </c>
      <c r="C714" s="52">
        <v>35171</v>
      </c>
      <c r="D714" s="102">
        <v>57.6723</v>
      </c>
      <c r="E714" s="102">
        <v>11.7075</v>
      </c>
      <c r="F714" s="20">
        <v>8195</v>
      </c>
      <c r="G714" s="18">
        <v>0</v>
      </c>
      <c r="H714" s="53">
        <v>9</v>
      </c>
      <c r="I714" s="167">
        <f t="shared" si="1136"/>
        <v>-0.53700000000000003</v>
      </c>
      <c r="J714" s="104">
        <f t="shared" si="1136"/>
        <v>1.139</v>
      </c>
      <c r="K714" s="104">
        <f t="shared" si="1136"/>
        <v>9.2999999999999999E-2</v>
      </c>
      <c r="L714" s="105">
        <f t="shared" si="1137"/>
        <v>0.18390000000000001</v>
      </c>
      <c r="M714" s="105" t="s">
        <v>282</v>
      </c>
      <c r="N714" s="105" t="s">
        <v>282</v>
      </c>
      <c r="O714" s="20">
        <f t="shared" ref="O714:P714" si="1159">ROUND(0.675*O702+0.325*O726,0)</f>
        <v>180</v>
      </c>
      <c r="P714" s="20">
        <f t="shared" si="1159"/>
        <v>60</v>
      </c>
      <c r="Q714" s="104">
        <f t="shared" si="1144"/>
        <v>1E-3</v>
      </c>
      <c r="R714" s="20">
        <f t="shared" ref="R714:S714" si="1160">ROUND(0.675*R702+0.325*R726,0)</f>
        <v>3</v>
      </c>
      <c r="S714" s="20">
        <f t="shared" si="1160"/>
        <v>1500</v>
      </c>
      <c r="T714" s="104">
        <f t="shared" si="1146"/>
        <v>0.1</v>
      </c>
      <c r="U714" s="123" t="s">
        <v>282</v>
      </c>
      <c r="V714" s="44"/>
      <c r="W714" s="58">
        <f t="shared" si="1138"/>
        <v>35171</v>
      </c>
      <c r="X714" s="102">
        <f t="shared" si="1139"/>
        <v>57.6723</v>
      </c>
      <c r="Y714" s="102">
        <f t="shared" si="1140"/>
        <v>11.7075</v>
      </c>
      <c r="Z714" s="21">
        <f t="shared" si="1141"/>
        <v>8195</v>
      </c>
      <c r="AA714" s="44">
        <f t="shared" si="1142"/>
        <v>0</v>
      </c>
      <c r="AB714" s="21">
        <f t="shared" si="1099"/>
        <v>9</v>
      </c>
      <c r="AC714" s="119">
        <f>ROUND(I714+mwreg!$G$77/100,3)</f>
        <v>-0.51700000000000002</v>
      </c>
      <c r="AD714" s="108">
        <f>ROUND(J714+mwreg!$G$77/100,3)</f>
        <v>1.159</v>
      </c>
      <c r="AE714" s="108">
        <f>ROUND(K714+mwreg!$G$77/100,3)</f>
        <v>0.113</v>
      </c>
      <c r="AF714" s="102">
        <f t="shared" si="1071"/>
        <v>0.18390000000000001</v>
      </c>
      <c r="AG714" s="102" t="str">
        <f t="shared" si="1072"/>
        <v>NaN</v>
      </c>
      <c r="AH714" s="109" t="str">
        <f t="shared" si="1030"/>
        <v>NaN</v>
      </c>
      <c r="AI714" s="110">
        <f t="shared" si="1031"/>
        <v>180</v>
      </c>
      <c r="AJ714" s="110">
        <f t="shared" si="1032"/>
        <v>60</v>
      </c>
      <c r="AK714" s="108">
        <f t="shared" si="1033"/>
        <v>1E-3</v>
      </c>
      <c r="AL714" s="110">
        <f t="shared" si="1034"/>
        <v>3</v>
      </c>
      <c r="AM714" s="110">
        <f t="shared" si="1035"/>
        <v>1500</v>
      </c>
      <c r="AN714" s="108">
        <f t="shared" si="1036"/>
        <v>0.1</v>
      </c>
      <c r="AO714" s="186" t="str">
        <f t="shared" si="1056"/>
        <v>NaN</v>
      </c>
    </row>
    <row r="715" spans="1:41" x14ac:dyDescent="0.2">
      <c r="A715" s="3" t="s">
        <v>296</v>
      </c>
      <c r="B715" s="3" t="s">
        <v>296</v>
      </c>
      <c r="C715" s="52">
        <v>35171</v>
      </c>
      <c r="D715" s="102">
        <v>57.6723</v>
      </c>
      <c r="E715" s="102">
        <v>11.7075</v>
      </c>
      <c r="F715" s="20">
        <v>8195</v>
      </c>
      <c r="G715" s="18">
        <v>0</v>
      </c>
      <c r="H715" s="53">
        <v>10</v>
      </c>
      <c r="I715" s="167">
        <f t="shared" si="1136"/>
        <v>-0.59699999999999998</v>
      </c>
      <c r="J715" s="104">
        <f t="shared" si="1136"/>
        <v>1.23</v>
      </c>
      <c r="K715" s="104">
        <f t="shared" si="1136"/>
        <v>8.5999999999999993E-2</v>
      </c>
      <c r="L715" s="105">
        <f t="shared" si="1137"/>
        <v>0.21010000000000001</v>
      </c>
      <c r="M715" s="105" t="s">
        <v>282</v>
      </c>
      <c r="N715" s="105" t="s">
        <v>282</v>
      </c>
      <c r="O715" s="20">
        <f t="shared" ref="O715:P715" si="1161">ROUND(0.675*O703+0.325*O727,0)</f>
        <v>180</v>
      </c>
      <c r="P715" s="20">
        <f t="shared" si="1161"/>
        <v>60</v>
      </c>
      <c r="Q715" s="104">
        <f t="shared" si="1144"/>
        <v>1E-3</v>
      </c>
      <c r="R715" s="20">
        <f t="shared" ref="R715:S715" si="1162">ROUND(0.675*R703+0.325*R727,0)</f>
        <v>3</v>
      </c>
      <c r="S715" s="20">
        <f t="shared" si="1162"/>
        <v>1500</v>
      </c>
      <c r="T715" s="104">
        <f t="shared" si="1146"/>
        <v>0.1</v>
      </c>
      <c r="U715" s="123" t="s">
        <v>282</v>
      </c>
      <c r="V715" s="44"/>
      <c r="W715" s="58">
        <f t="shared" si="1138"/>
        <v>35171</v>
      </c>
      <c r="X715" s="102">
        <f t="shared" si="1139"/>
        <v>57.6723</v>
      </c>
      <c r="Y715" s="102">
        <f t="shared" si="1140"/>
        <v>11.7075</v>
      </c>
      <c r="Z715" s="21">
        <f t="shared" si="1141"/>
        <v>8195</v>
      </c>
      <c r="AA715" s="44">
        <f t="shared" si="1142"/>
        <v>0</v>
      </c>
      <c r="AB715" s="21">
        <f t="shared" si="1099"/>
        <v>10</v>
      </c>
      <c r="AC715" s="119">
        <f>ROUND(I715+mwreg!$G$77/100,3)</f>
        <v>-0.57699999999999996</v>
      </c>
      <c r="AD715" s="108">
        <f>ROUND(J715+mwreg!$G$77/100,3)</f>
        <v>1.25</v>
      </c>
      <c r="AE715" s="108">
        <f>ROUND(K715+mwreg!$G$77/100,3)</f>
        <v>0.106</v>
      </c>
      <c r="AF715" s="102">
        <f t="shared" si="1071"/>
        <v>0.21010000000000001</v>
      </c>
      <c r="AG715" s="102" t="str">
        <f t="shared" si="1072"/>
        <v>NaN</v>
      </c>
      <c r="AH715" s="109" t="str">
        <f t="shared" si="1030"/>
        <v>NaN</v>
      </c>
      <c r="AI715" s="110">
        <f t="shared" si="1031"/>
        <v>180</v>
      </c>
      <c r="AJ715" s="110">
        <f t="shared" si="1032"/>
        <v>60</v>
      </c>
      <c r="AK715" s="108">
        <f t="shared" si="1033"/>
        <v>1E-3</v>
      </c>
      <c r="AL715" s="110">
        <f t="shared" si="1034"/>
        <v>3</v>
      </c>
      <c r="AM715" s="110">
        <f t="shared" si="1035"/>
        <v>1500</v>
      </c>
      <c r="AN715" s="108">
        <f t="shared" si="1036"/>
        <v>0.1</v>
      </c>
      <c r="AO715" s="186" t="str">
        <f t="shared" si="1056"/>
        <v>NaN</v>
      </c>
    </row>
    <row r="716" spans="1:41" x14ac:dyDescent="0.2">
      <c r="A716" s="3" t="s">
        <v>296</v>
      </c>
      <c r="B716" s="3" t="s">
        <v>296</v>
      </c>
      <c r="C716" s="52">
        <v>35171</v>
      </c>
      <c r="D716" s="102">
        <v>57.6723</v>
      </c>
      <c r="E716" s="102">
        <v>11.7075</v>
      </c>
      <c r="F716" s="20">
        <v>8195</v>
      </c>
      <c r="G716" s="18">
        <v>0</v>
      </c>
      <c r="H716" s="53">
        <v>11</v>
      </c>
      <c r="I716" s="167">
        <f t="shared" si="1136"/>
        <v>-0.71299999999999997</v>
      </c>
      <c r="J716" s="104">
        <f t="shared" si="1136"/>
        <v>1.4650000000000001</v>
      </c>
      <c r="K716" s="104">
        <f t="shared" si="1136"/>
        <v>0.108</v>
      </c>
      <c r="L716" s="105">
        <f t="shared" si="1137"/>
        <v>0.2258</v>
      </c>
      <c r="M716" s="105" t="s">
        <v>282</v>
      </c>
      <c r="N716" s="105" t="s">
        <v>282</v>
      </c>
      <c r="O716" s="20">
        <f t="shared" ref="O716:P716" si="1163">ROUND(0.675*O704+0.325*O728,0)</f>
        <v>180</v>
      </c>
      <c r="P716" s="20">
        <f t="shared" si="1163"/>
        <v>60</v>
      </c>
      <c r="Q716" s="104">
        <f t="shared" si="1144"/>
        <v>1E-3</v>
      </c>
      <c r="R716" s="20">
        <f t="shared" ref="R716:S716" si="1164">ROUND(0.675*R704+0.325*R728,0)</f>
        <v>3</v>
      </c>
      <c r="S716" s="20">
        <f t="shared" si="1164"/>
        <v>1500</v>
      </c>
      <c r="T716" s="104">
        <f t="shared" si="1146"/>
        <v>0.1</v>
      </c>
      <c r="U716" s="123" t="s">
        <v>282</v>
      </c>
      <c r="V716" s="44"/>
      <c r="W716" s="58">
        <f t="shared" si="1138"/>
        <v>35171</v>
      </c>
      <c r="X716" s="102">
        <f t="shared" si="1139"/>
        <v>57.6723</v>
      </c>
      <c r="Y716" s="102">
        <f t="shared" si="1140"/>
        <v>11.7075</v>
      </c>
      <c r="Z716" s="21">
        <f t="shared" si="1141"/>
        <v>8195</v>
      </c>
      <c r="AA716" s="44">
        <f t="shared" si="1142"/>
        <v>0</v>
      </c>
      <c r="AB716" s="21">
        <f t="shared" si="1099"/>
        <v>11</v>
      </c>
      <c r="AC716" s="119">
        <f>ROUND(I716+mwreg!$G$77/100,3)</f>
        <v>-0.69299999999999995</v>
      </c>
      <c r="AD716" s="108">
        <f>ROUND(J716+mwreg!$G$77/100,3)</f>
        <v>1.4850000000000001</v>
      </c>
      <c r="AE716" s="108">
        <f>ROUND(K716+mwreg!$G$77/100,3)</f>
        <v>0.128</v>
      </c>
      <c r="AF716" s="102">
        <f t="shared" si="1071"/>
        <v>0.2258</v>
      </c>
      <c r="AG716" s="102" t="str">
        <f t="shared" si="1072"/>
        <v>NaN</v>
      </c>
      <c r="AH716" s="109" t="str">
        <f t="shared" si="1030"/>
        <v>NaN</v>
      </c>
      <c r="AI716" s="110">
        <f t="shared" si="1031"/>
        <v>180</v>
      </c>
      <c r="AJ716" s="110">
        <f t="shared" si="1032"/>
        <v>60</v>
      </c>
      <c r="AK716" s="108">
        <f t="shared" si="1033"/>
        <v>1E-3</v>
      </c>
      <c r="AL716" s="110">
        <f t="shared" si="1034"/>
        <v>3</v>
      </c>
      <c r="AM716" s="110">
        <f t="shared" si="1035"/>
        <v>1500</v>
      </c>
      <c r="AN716" s="108">
        <f t="shared" si="1036"/>
        <v>0.1</v>
      </c>
      <c r="AO716" s="186" t="str">
        <f t="shared" si="1056"/>
        <v>NaN</v>
      </c>
    </row>
    <row r="717" spans="1:41" x14ac:dyDescent="0.2">
      <c r="A717" s="3" t="s">
        <v>296</v>
      </c>
      <c r="B717" s="3" t="s">
        <v>296</v>
      </c>
      <c r="C717" s="52">
        <v>35171</v>
      </c>
      <c r="D717" s="102">
        <v>57.6723</v>
      </c>
      <c r="E717" s="102">
        <v>11.7075</v>
      </c>
      <c r="F717" s="20">
        <v>8195</v>
      </c>
      <c r="G717" s="18">
        <v>0</v>
      </c>
      <c r="H717" s="53">
        <v>12</v>
      </c>
      <c r="I717" s="167">
        <f t="shared" si="1136"/>
        <v>-0.85099999999999998</v>
      </c>
      <c r="J717" s="104">
        <f t="shared" si="1136"/>
        <v>1.4730000000000001</v>
      </c>
      <c r="K717" s="104">
        <f t="shared" si="1136"/>
        <v>9.4E-2</v>
      </c>
      <c r="L717" s="105">
        <f t="shared" si="1137"/>
        <v>0.2636</v>
      </c>
      <c r="M717" s="105" t="s">
        <v>282</v>
      </c>
      <c r="N717" s="105" t="s">
        <v>282</v>
      </c>
      <c r="O717" s="20">
        <f t="shared" ref="O717:P717" si="1165">ROUND(0.675*O705+0.325*O729,0)</f>
        <v>180</v>
      </c>
      <c r="P717" s="20">
        <f t="shared" si="1165"/>
        <v>60</v>
      </c>
      <c r="Q717" s="104">
        <f t="shared" si="1144"/>
        <v>1E-3</v>
      </c>
      <c r="R717" s="20">
        <f t="shared" ref="R717:S717" si="1166">ROUND(0.675*R705+0.325*R729,0)</f>
        <v>3</v>
      </c>
      <c r="S717" s="20">
        <f t="shared" si="1166"/>
        <v>1500</v>
      </c>
      <c r="T717" s="104">
        <f t="shared" si="1146"/>
        <v>0.1</v>
      </c>
      <c r="U717" s="123" t="s">
        <v>282</v>
      </c>
      <c r="V717" s="44"/>
      <c r="W717" s="58">
        <f t="shared" si="1138"/>
        <v>35171</v>
      </c>
      <c r="X717" s="102">
        <f t="shared" si="1139"/>
        <v>57.6723</v>
      </c>
      <c r="Y717" s="102">
        <f t="shared" si="1140"/>
        <v>11.7075</v>
      </c>
      <c r="Z717" s="21">
        <f t="shared" si="1141"/>
        <v>8195</v>
      </c>
      <c r="AA717" s="44">
        <f t="shared" si="1142"/>
        <v>0</v>
      </c>
      <c r="AB717" s="21">
        <f t="shared" si="1099"/>
        <v>12</v>
      </c>
      <c r="AC717" s="119">
        <f>ROUND(I717+mwreg!$G$77/100,3)</f>
        <v>-0.83099999999999996</v>
      </c>
      <c r="AD717" s="108">
        <f>ROUND(J717+mwreg!$G$77/100,3)</f>
        <v>1.4930000000000001</v>
      </c>
      <c r="AE717" s="108">
        <f>ROUND(K717+mwreg!$G$77/100,3)</f>
        <v>0.114</v>
      </c>
      <c r="AF717" s="102">
        <f t="shared" si="1071"/>
        <v>0.2636</v>
      </c>
      <c r="AG717" s="102" t="str">
        <f t="shared" si="1072"/>
        <v>NaN</v>
      </c>
      <c r="AH717" s="109" t="str">
        <f t="shared" si="1030"/>
        <v>NaN</v>
      </c>
      <c r="AI717" s="110">
        <f t="shared" si="1031"/>
        <v>180</v>
      </c>
      <c r="AJ717" s="110">
        <f t="shared" si="1032"/>
        <v>60</v>
      </c>
      <c r="AK717" s="108">
        <f t="shared" si="1033"/>
        <v>1E-3</v>
      </c>
      <c r="AL717" s="110">
        <f t="shared" si="1034"/>
        <v>3</v>
      </c>
      <c r="AM717" s="110">
        <f t="shared" si="1035"/>
        <v>1500</v>
      </c>
      <c r="AN717" s="108">
        <f t="shared" si="1036"/>
        <v>0.1</v>
      </c>
      <c r="AO717" s="186" t="str">
        <f t="shared" si="1056"/>
        <v>NaN</v>
      </c>
    </row>
    <row r="718" spans="1:41" x14ac:dyDescent="0.2">
      <c r="A718" s="3" t="str">
        <f>stat_uppg!A68</f>
        <v>2109/33070</v>
      </c>
      <c r="B718" s="3" t="str">
        <f>stat_uppg!B68</f>
        <v>GÖTEBORG-TORSHAMNEN (SMHI)</v>
      </c>
      <c r="C718" s="55">
        <v>2109</v>
      </c>
      <c r="D718" s="79">
        <v>57.684699999999999</v>
      </c>
      <c r="E718" s="79">
        <v>11.7906</v>
      </c>
      <c r="F718" s="14">
        <v>8195</v>
      </c>
      <c r="G718" s="10">
        <v>0</v>
      </c>
      <c r="H718" s="122">
        <v>1</v>
      </c>
      <c r="I718" s="165">
        <v>-1.115</v>
      </c>
      <c r="J718" s="11">
        <v>1.4930000000000001</v>
      </c>
      <c r="K718" s="11">
        <v>7.0999999999999994E-2</v>
      </c>
      <c r="L718" s="79">
        <v>0.27089999999999997</v>
      </c>
      <c r="M718" s="79" t="s">
        <v>282</v>
      </c>
      <c r="N718" s="79" t="s">
        <v>282</v>
      </c>
      <c r="O718" s="14">
        <v>180</v>
      </c>
      <c r="P718" s="14">
        <v>60</v>
      </c>
      <c r="Q718" s="11">
        <v>1E-3</v>
      </c>
      <c r="R718" s="14">
        <v>3</v>
      </c>
      <c r="S718" s="14">
        <v>1500</v>
      </c>
      <c r="T718" s="11">
        <v>0.1</v>
      </c>
      <c r="U718" s="122">
        <v>161613</v>
      </c>
      <c r="V718" s="35"/>
      <c r="W718" s="99">
        <f t="shared" si="1138"/>
        <v>2109</v>
      </c>
      <c r="X718" s="100">
        <f t="shared" si="1139"/>
        <v>57.684699999999999</v>
      </c>
      <c r="Y718" s="100">
        <f t="shared" si="1140"/>
        <v>11.7906</v>
      </c>
      <c r="Z718" s="22">
        <f t="shared" si="1141"/>
        <v>8195</v>
      </c>
      <c r="AA718" s="35">
        <f t="shared" si="1142"/>
        <v>0</v>
      </c>
      <c r="AB718" s="22">
        <f t="shared" si="1099"/>
        <v>1</v>
      </c>
      <c r="AC718" s="137">
        <f>ROUND(I718+mwreg!$G$78/100,3)</f>
        <v>-1.091</v>
      </c>
      <c r="AD718" s="134">
        <f>ROUND(J718+mwreg!$G$78/100,3)</f>
        <v>1.5169999999999999</v>
      </c>
      <c r="AE718" s="134">
        <f>ROUND(K718+mwreg!$G$78/100,3)</f>
        <v>9.5000000000000001E-2</v>
      </c>
      <c r="AF718" s="132">
        <f>L718</f>
        <v>0.27089999999999997</v>
      </c>
      <c r="AG718" s="132" t="str">
        <f>M718</f>
        <v>NaN</v>
      </c>
      <c r="AH718" s="164" t="str">
        <f t="shared" ref="AH718:AH753" si="1167">N718</f>
        <v>NaN</v>
      </c>
      <c r="AI718" s="135">
        <f t="shared" ref="AI718:AI753" si="1168">O718</f>
        <v>180</v>
      </c>
      <c r="AJ718" s="135">
        <f t="shared" ref="AJ718:AJ753" si="1169">P718</f>
        <v>60</v>
      </c>
      <c r="AK718" s="134">
        <f t="shared" ref="AK718:AK753" si="1170">Q718</f>
        <v>1E-3</v>
      </c>
      <c r="AL718" s="135">
        <f t="shared" ref="AL718:AL753" si="1171">R718</f>
        <v>3</v>
      </c>
      <c r="AM718" s="135">
        <f t="shared" ref="AM718:AM753" si="1172">S718</f>
        <v>1500</v>
      </c>
      <c r="AN718" s="134">
        <f t="shared" ref="AN718:AN753" si="1173">T718</f>
        <v>0.1</v>
      </c>
      <c r="AO718" s="187">
        <f t="shared" ref="AO718:AO753" si="1174">U718</f>
        <v>161613</v>
      </c>
    </row>
    <row r="719" spans="1:41" x14ac:dyDescent="0.2">
      <c r="A719" s="3" t="s">
        <v>296</v>
      </c>
      <c r="B719" s="3" t="s">
        <v>296</v>
      </c>
      <c r="C719" s="55">
        <v>2109</v>
      </c>
      <c r="D719" s="79">
        <v>57.684699999999999</v>
      </c>
      <c r="E719" s="79">
        <v>11.7906</v>
      </c>
      <c r="F719" s="14">
        <v>8195</v>
      </c>
      <c r="G719" s="10">
        <v>0</v>
      </c>
      <c r="H719" s="122">
        <v>2</v>
      </c>
      <c r="I719" s="165">
        <v>-0.78400000000000003</v>
      </c>
      <c r="J719" s="11">
        <v>1.3580000000000001</v>
      </c>
      <c r="K719" s="11">
        <v>-2.5000000000000001E-2</v>
      </c>
      <c r="L719" s="79">
        <v>0.2409</v>
      </c>
      <c r="M719" s="79" t="s">
        <v>282</v>
      </c>
      <c r="N719" s="79" t="s">
        <v>282</v>
      </c>
      <c r="O719" s="14">
        <v>180</v>
      </c>
      <c r="P719" s="14">
        <v>60</v>
      </c>
      <c r="Q719" s="11">
        <v>1E-3</v>
      </c>
      <c r="R719" s="14">
        <v>3</v>
      </c>
      <c r="S719" s="14">
        <v>1500</v>
      </c>
      <c r="T719" s="11">
        <v>0.1</v>
      </c>
      <c r="U719" s="122">
        <v>163751</v>
      </c>
      <c r="V719" s="35"/>
      <c r="W719" s="99">
        <f t="shared" si="1138"/>
        <v>2109</v>
      </c>
      <c r="X719" s="100">
        <f t="shared" si="1139"/>
        <v>57.684699999999999</v>
      </c>
      <c r="Y719" s="100">
        <f t="shared" si="1140"/>
        <v>11.7906</v>
      </c>
      <c r="Z719" s="22">
        <f t="shared" si="1141"/>
        <v>8195</v>
      </c>
      <c r="AA719" s="35">
        <f t="shared" si="1142"/>
        <v>0</v>
      </c>
      <c r="AB719" s="22">
        <f t="shared" si="1099"/>
        <v>2</v>
      </c>
      <c r="AC719" s="137">
        <f>ROUND(I719+mwreg!$G$78/100,3)</f>
        <v>-0.76</v>
      </c>
      <c r="AD719" s="134">
        <f>ROUND(J719+mwreg!$G$78/100,3)</f>
        <v>1.3819999999999999</v>
      </c>
      <c r="AE719" s="134">
        <f>ROUND(K719+mwreg!$G$78/100,3)</f>
        <v>-1E-3</v>
      </c>
      <c r="AF719" s="132">
        <f t="shared" ref="AF719:AF729" si="1175">L719</f>
        <v>0.2409</v>
      </c>
      <c r="AG719" s="132" t="str">
        <f t="shared" ref="AG719:AG729" si="1176">M719</f>
        <v>NaN</v>
      </c>
      <c r="AH719" s="164" t="str">
        <f t="shared" si="1167"/>
        <v>NaN</v>
      </c>
      <c r="AI719" s="135">
        <f t="shared" si="1168"/>
        <v>180</v>
      </c>
      <c r="AJ719" s="135">
        <f t="shared" si="1169"/>
        <v>60</v>
      </c>
      <c r="AK719" s="134">
        <f t="shared" si="1170"/>
        <v>1E-3</v>
      </c>
      <c r="AL719" s="135">
        <f t="shared" si="1171"/>
        <v>3</v>
      </c>
      <c r="AM719" s="135">
        <f t="shared" si="1172"/>
        <v>1500</v>
      </c>
      <c r="AN719" s="134">
        <f t="shared" si="1173"/>
        <v>0.1</v>
      </c>
      <c r="AO719" s="187">
        <f t="shared" si="1174"/>
        <v>163751</v>
      </c>
    </row>
    <row r="720" spans="1:41" x14ac:dyDescent="0.2">
      <c r="A720" s="3" t="s">
        <v>296</v>
      </c>
      <c r="B720" s="3" t="s">
        <v>296</v>
      </c>
      <c r="C720" s="55">
        <v>2109</v>
      </c>
      <c r="D720" s="79">
        <v>57.684699999999999</v>
      </c>
      <c r="E720" s="79">
        <v>11.7906</v>
      </c>
      <c r="F720" s="14">
        <v>8195</v>
      </c>
      <c r="G720" s="10">
        <v>0</v>
      </c>
      <c r="H720" s="122">
        <v>3</v>
      </c>
      <c r="I720" s="165">
        <v>-0.80100000000000005</v>
      </c>
      <c r="J720" s="11">
        <v>1.2669999999999999</v>
      </c>
      <c r="K720" s="11">
        <v>-5.7000000000000002E-2</v>
      </c>
      <c r="L720" s="79">
        <v>0.22500000000000001</v>
      </c>
      <c r="M720" s="79" t="s">
        <v>282</v>
      </c>
      <c r="N720" s="79" t="s">
        <v>282</v>
      </c>
      <c r="O720" s="14">
        <v>180</v>
      </c>
      <c r="P720" s="14">
        <v>60</v>
      </c>
      <c r="Q720" s="11">
        <v>1E-3</v>
      </c>
      <c r="R720" s="14">
        <v>3</v>
      </c>
      <c r="S720" s="14">
        <v>1500</v>
      </c>
      <c r="T720" s="11">
        <v>0.1</v>
      </c>
      <c r="U720" s="122">
        <v>148887</v>
      </c>
      <c r="V720" s="35"/>
      <c r="W720" s="99">
        <f t="shared" si="1138"/>
        <v>2109</v>
      </c>
      <c r="X720" s="100">
        <f t="shared" si="1139"/>
        <v>57.684699999999999</v>
      </c>
      <c r="Y720" s="100">
        <f t="shared" si="1140"/>
        <v>11.7906</v>
      </c>
      <c r="Z720" s="22">
        <f t="shared" si="1141"/>
        <v>8195</v>
      </c>
      <c r="AA720" s="35">
        <f t="shared" si="1142"/>
        <v>0</v>
      </c>
      <c r="AB720" s="22">
        <f t="shared" si="1099"/>
        <v>3</v>
      </c>
      <c r="AC720" s="137">
        <f>ROUND(I720+mwreg!$G$78/100,3)</f>
        <v>-0.77700000000000002</v>
      </c>
      <c r="AD720" s="134">
        <f>ROUND(J720+mwreg!$G$78/100,3)</f>
        <v>1.2909999999999999</v>
      </c>
      <c r="AE720" s="134">
        <f>ROUND(K720+mwreg!$G$78/100,3)</f>
        <v>-3.3000000000000002E-2</v>
      </c>
      <c r="AF720" s="132">
        <f t="shared" si="1175"/>
        <v>0.22500000000000001</v>
      </c>
      <c r="AG720" s="132" t="str">
        <f t="shared" si="1176"/>
        <v>NaN</v>
      </c>
      <c r="AH720" s="164" t="str">
        <f t="shared" si="1167"/>
        <v>NaN</v>
      </c>
      <c r="AI720" s="135">
        <f t="shared" si="1168"/>
        <v>180</v>
      </c>
      <c r="AJ720" s="135">
        <f t="shared" si="1169"/>
        <v>60</v>
      </c>
      <c r="AK720" s="134">
        <f t="shared" si="1170"/>
        <v>1E-3</v>
      </c>
      <c r="AL720" s="135">
        <f t="shared" si="1171"/>
        <v>3</v>
      </c>
      <c r="AM720" s="135">
        <f t="shared" si="1172"/>
        <v>1500</v>
      </c>
      <c r="AN720" s="134">
        <f t="shared" si="1173"/>
        <v>0.1</v>
      </c>
      <c r="AO720" s="187">
        <f t="shared" si="1174"/>
        <v>148887</v>
      </c>
    </row>
    <row r="721" spans="1:41" x14ac:dyDescent="0.2">
      <c r="A721" s="3" t="s">
        <v>296</v>
      </c>
      <c r="B721" s="3" t="s">
        <v>296</v>
      </c>
      <c r="C721" s="55">
        <v>2109</v>
      </c>
      <c r="D721" s="79">
        <v>57.684699999999999</v>
      </c>
      <c r="E721" s="79">
        <v>11.7906</v>
      </c>
      <c r="F721" s="14">
        <v>8195</v>
      </c>
      <c r="G721" s="10">
        <v>0</v>
      </c>
      <c r="H721" s="122">
        <v>4</v>
      </c>
      <c r="I721" s="165">
        <v>-0.71899999999999997</v>
      </c>
      <c r="J721" s="11">
        <v>0.84899999999999998</v>
      </c>
      <c r="K721" s="11">
        <v>-8.5999999999999993E-2</v>
      </c>
      <c r="L721" s="79">
        <v>0.156</v>
      </c>
      <c r="M721" s="79" t="s">
        <v>282</v>
      </c>
      <c r="N721" s="79" t="s">
        <v>282</v>
      </c>
      <c r="O721" s="14">
        <v>180</v>
      </c>
      <c r="P721" s="14">
        <v>60</v>
      </c>
      <c r="Q721" s="11">
        <v>1E-3</v>
      </c>
      <c r="R721" s="14">
        <v>3</v>
      </c>
      <c r="S721" s="14">
        <v>1500</v>
      </c>
      <c r="T721" s="11">
        <v>0.1</v>
      </c>
      <c r="U721" s="122">
        <v>137506</v>
      </c>
      <c r="V721" s="35"/>
      <c r="W721" s="99">
        <f t="shared" si="1138"/>
        <v>2109</v>
      </c>
      <c r="X721" s="100">
        <f t="shared" si="1139"/>
        <v>57.684699999999999</v>
      </c>
      <c r="Y721" s="100">
        <f t="shared" si="1140"/>
        <v>11.7906</v>
      </c>
      <c r="Z721" s="22">
        <f t="shared" si="1141"/>
        <v>8195</v>
      </c>
      <c r="AA721" s="35">
        <f t="shared" si="1142"/>
        <v>0</v>
      </c>
      <c r="AB721" s="22">
        <f t="shared" si="1099"/>
        <v>4</v>
      </c>
      <c r="AC721" s="137">
        <f>ROUND(I721+mwreg!$G$78/100,3)</f>
        <v>-0.69499999999999995</v>
      </c>
      <c r="AD721" s="134">
        <f>ROUND(J721+mwreg!$G$78/100,3)</f>
        <v>0.873</v>
      </c>
      <c r="AE721" s="134">
        <f>ROUND(K721+mwreg!$G$78/100,3)</f>
        <v>-6.2E-2</v>
      </c>
      <c r="AF721" s="132">
        <f t="shared" si="1175"/>
        <v>0.156</v>
      </c>
      <c r="AG721" s="132" t="str">
        <f t="shared" si="1176"/>
        <v>NaN</v>
      </c>
      <c r="AH721" s="164" t="str">
        <f t="shared" si="1167"/>
        <v>NaN</v>
      </c>
      <c r="AI721" s="135">
        <f t="shared" si="1168"/>
        <v>180</v>
      </c>
      <c r="AJ721" s="135">
        <f t="shared" si="1169"/>
        <v>60</v>
      </c>
      <c r="AK721" s="134">
        <f t="shared" si="1170"/>
        <v>1E-3</v>
      </c>
      <c r="AL721" s="135">
        <f t="shared" si="1171"/>
        <v>3</v>
      </c>
      <c r="AM721" s="135">
        <f t="shared" si="1172"/>
        <v>1500</v>
      </c>
      <c r="AN721" s="134">
        <f t="shared" si="1173"/>
        <v>0.1</v>
      </c>
      <c r="AO721" s="187">
        <f t="shared" si="1174"/>
        <v>137506</v>
      </c>
    </row>
    <row r="722" spans="1:41" x14ac:dyDescent="0.2">
      <c r="A722" s="3" t="s">
        <v>296</v>
      </c>
      <c r="B722" s="3" t="s">
        <v>296</v>
      </c>
      <c r="C722" s="55">
        <v>2109</v>
      </c>
      <c r="D722" s="79">
        <v>57.684699999999999</v>
      </c>
      <c r="E722" s="79">
        <v>11.7906</v>
      </c>
      <c r="F722" s="14">
        <v>8195</v>
      </c>
      <c r="G722" s="10">
        <v>0</v>
      </c>
      <c r="H722" s="122">
        <v>5</v>
      </c>
      <c r="I722" s="165">
        <v>-0.56699999999999995</v>
      </c>
      <c r="J722" s="11">
        <v>0.63700000000000001</v>
      </c>
      <c r="K722" s="11">
        <v>-6.2E-2</v>
      </c>
      <c r="L722" s="79">
        <v>0.14349999999999999</v>
      </c>
      <c r="M722" s="79" t="s">
        <v>282</v>
      </c>
      <c r="N722" s="79" t="s">
        <v>282</v>
      </c>
      <c r="O722" s="14">
        <v>180</v>
      </c>
      <c r="P722" s="14">
        <v>60</v>
      </c>
      <c r="Q722" s="11">
        <v>1E-3</v>
      </c>
      <c r="R722" s="14">
        <v>3</v>
      </c>
      <c r="S722" s="14">
        <v>1500</v>
      </c>
      <c r="T722" s="11">
        <v>0.1</v>
      </c>
      <c r="U722" s="122">
        <v>142303</v>
      </c>
      <c r="V722" s="35"/>
      <c r="W722" s="99">
        <f t="shared" si="1138"/>
        <v>2109</v>
      </c>
      <c r="X722" s="100">
        <f t="shared" si="1139"/>
        <v>57.684699999999999</v>
      </c>
      <c r="Y722" s="100">
        <f t="shared" si="1140"/>
        <v>11.7906</v>
      </c>
      <c r="Z722" s="22">
        <f t="shared" si="1141"/>
        <v>8195</v>
      </c>
      <c r="AA722" s="35">
        <f t="shared" si="1142"/>
        <v>0</v>
      </c>
      <c r="AB722" s="22">
        <f t="shared" si="1099"/>
        <v>5</v>
      </c>
      <c r="AC722" s="137">
        <f>ROUND(I722+mwreg!$G$78/100,3)</f>
        <v>-0.54300000000000004</v>
      </c>
      <c r="AD722" s="134">
        <f>ROUND(J722+mwreg!$G$78/100,3)</f>
        <v>0.66100000000000003</v>
      </c>
      <c r="AE722" s="134">
        <f>ROUND(K722+mwreg!$G$78/100,3)</f>
        <v>-3.7999999999999999E-2</v>
      </c>
      <c r="AF722" s="132">
        <f t="shared" si="1175"/>
        <v>0.14349999999999999</v>
      </c>
      <c r="AG722" s="132" t="str">
        <f t="shared" si="1176"/>
        <v>NaN</v>
      </c>
      <c r="AH722" s="164" t="str">
        <f t="shared" si="1167"/>
        <v>NaN</v>
      </c>
      <c r="AI722" s="135">
        <f t="shared" si="1168"/>
        <v>180</v>
      </c>
      <c r="AJ722" s="135">
        <f t="shared" si="1169"/>
        <v>60</v>
      </c>
      <c r="AK722" s="134">
        <f t="shared" si="1170"/>
        <v>1E-3</v>
      </c>
      <c r="AL722" s="135">
        <f t="shared" si="1171"/>
        <v>3</v>
      </c>
      <c r="AM722" s="135">
        <f t="shared" si="1172"/>
        <v>1500</v>
      </c>
      <c r="AN722" s="134">
        <f t="shared" si="1173"/>
        <v>0.1</v>
      </c>
      <c r="AO722" s="187">
        <f t="shared" si="1174"/>
        <v>142303</v>
      </c>
    </row>
    <row r="723" spans="1:41" x14ac:dyDescent="0.2">
      <c r="A723" s="3" t="s">
        <v>296</v>
      </c>
      <c r="B723" s="3" t="s">
        <v>296</v>
      </c>
      <c r="C723" s="55">
        <v>2109</v>
      </c>
      <c r="D723" s="79">
        <v>57.684699999999999</v>
      </c>
      <c r="E723" s="79">
        <v>11.7906</v>
      </c>
      <c r="F723" s="14">
        <v>8195</v>
      </c>
      <c r="G723" s="10">
        <v>0</v>
      </c>
      <c r="H723" s="122">
        <v>6</v>
      </c>
      <c r="I723" s="165">
        <v>-0.47</v>
      </c>
      <c r="J723" s="11">
        <v>0.70899999999999996</v>
      </c>
      <c r="K723" s="11">
        <v>-5.0000000000000001E-3</v>
      </c>
      <c r="L723" s="79">
        <v>0.13739999999999999</v>
      </c>
      <c r="M723" s="79" t="s">
        <v>282</v>
      </c>
      <c r="N723" s="79" t="s">
        <v>282</v>
      </c>
      <c r="O723" s="14">
        <v>180</v>
      </c>
      <c r="P723" s="14">
        <v>60</v>
      </c>
      <c r="Q723" s="11">
        <v>1E-3</v>
      </c>
      <c r="R723" s="14">
        <v>3</v>
      </c>
      <c r="S723" s="14">
        <v>1500</v>
      </c>
      <c r="T723" s="11">
        <v>0.1</v>
      </c>
      <c r="U723" s="122">
        <v>137927</v>
      </c>
      <c r="V723" s="35"/>
      <c r="W723" s="99">
        <f t="shared" si="1138"/>
        <v>2109</v>
      </c>
      <c r="X723" s="100">
        <f t="shared" si="1139"/>
        <v>57.684699999999999</v>
      </c>
      <c r="Y723" s="100">
        <f t="shared" si="1140"/>
        <v>11.7906</v>
      </c>
      <c r="Z723" s="22">
        <f t="shared" si="1141"/>
        <v>8195</v>
      </c>
      <c r="AA723" s="35">
        <f t="shared" si="1142"/>
        <v>0</v>
      </c>
      <c r="AB723" s="22">
        <f t="shared" si="1099"/>
        <v>6</v>
      </c>
      <c r="AC723" s="137">
        <f>ROUND(I723+mwreg!$G$78/100,3)</f>
        <v>-0.44600000000000001</v>
      </c>
      <c r="AD723" s="134">
        <f>ROUND(J723+mwreg!$G$78/100,3)</f>
        <v>0.73299999999999998</v>
      </c>
      <c r="AE723" s="134">
        <f>ROUND(K723+mwreg!$G$78/100,3)</f>
        <v>1.9E-2</v>
      </c>
      <c r="AF723" s="132">
        <f t="shared" si="1175"/>
        <v>0.13739999999999999</v>
      </c>
      <c r="AG723" s="132" t="str">
        <f t="shared" si="1176"/>
        <v>NaN</v>
      </c>
      <c r="AH723" s="164" t="str">
        <f t="shared" si="1167"/>
        <v>NaN</v>
      </c>
      <c r="AI723" s="135">
        <f t="shared" si="1168"/>
        <v>180</v>
      </c>
      <c r="AJ723" s="135">
        <f t="shared" si="1169"/>
        <v>60</v>
      </c>
      <c r="AK723" s="134">
        <f t="shared" si="1170"/>
        <v>1E-3</v>
      </c>
      <c r="AL723" s="135">
        <f t="shared" si="1171"/>
        <v>3</v>
      </c>
      <c r="AM723" s="135">
        <f t="shared" si="1172"/>
        <v>1500</v>
      </c>
      <c r="AN723" s="134">
        <f t="shared" si="1173"/>
        <v>0.1</v>
      </c>
      <c r="AO723" s="187">
        <f t="shared" si="1174"/>
        <v>137927</v>
      </c>
    </row>
    <row r="724" spans="1:41" x14ac:dyDescent="0.2">
      <c r="A724" s="3" t="s">
        <v>296</v>
      </c>
      <c r="B724" s="3" t="s">
        <v>296</v>
      </c>
      <c r="C724" s="55">
        <v>2109</v>
      </c>
      <c r="D724" s="79">
        <v>57.684699999999999</v>
      </c>
      <c r="E724" s="79">
        <v>11.7906</v>
      </c>
      <c r="F724" s="14">
        <v>8195</v>
      </c>
      <c r="G724" s="10">
        <v>0</v>
      </c>
      <c r="H724" s="122">
        <v>7</v>
      </c>
      <c r="I724" s="165">
        <v>-0.378</v>
      </c>
      <c r="J724" s="11">
        <v>0.78700000000000003</v>
      </c>
      <c r="K724" s="11">
        <v>4.8000000000000001E-2</v>
      </c>
      <c r="L724" s="79">
        <v>0.1318</v>
      </c>
      <c r="M724" s="79" t="s">
        <v>282</v>
      </c>
      <c r="N724" s="79" t="s">
        <v>282</v>
      </c>
      <c r="O724" s="14">
        <v>180</v>
      </c>
      <c r="P724" s="14">
        <v>60</v>
      </c>
      <c r="Q724" s="11">
        <v>1E-3</v>
      </c>
      <c r="R724" s="14">
        <v>3</v>
      </c>
      <c r="S724" s="14">
        <v>1500</v>
      </c>
      <c r="T724" s="11">
        <v>0.1</v>
      </c>
      <c r="U724" s="122">
        <v>145449</v>
      </c>
      <c r="V724" s="35"/>
      <c r="W724" s="99">
        <f t="shared" si="1138"/>
        <v>2109</v>
      </c>
      <c r="X724" s="100">
        <f t="shared" si="1139"/>
        <v>57.684699999999999</v>
      </c>
      <c r="Y724" s="100">
        <f t="shared" si="1140"/>
        <v>11.7906</v>
      </c>
      <c r="Z724" s="22">
        <f t="shared" si="1141"/>
        <v>8195</v>
      </c>
      <c r="AA724" s="35">
        <f t="shared" si="1142"/>
        <v>0</v>
      </c>
      <c r="AB724" s="22">
        <f t="shared" si="1099"/>
        <v>7</v>
      </c>
      <c r="AC724" s="137">
        <f>ROUND(I724+mwreg!$G$78/100,3)</f>
        <v>-0.35399999999999998</v>
      </c>
      <c r="AD724" s="134">
        <f>ROUND(J724+mwreg!$G$78/100,3)</f>
        <v>0.81100000000000005</v>
      </c>
      <c r="AE724" s="134">
        <f>ROUND(K724+mwreg!$G$78/100,3)</f>
        <v>7.1999999999999995E-2</v>
      </c>
      <c r="AF724" s="132">
        <f t="shared" si="1175"/>
        <v>0.1318</v>
      </c>
      <c r="AG724" s="132" t="str">
        <f t="shared" si="1176"/>
        <v>NaN</v>
      </c>
      <c r="AH724" s="164" t="str">
        <f t="shared" si="1167"/>
        <v>NaN</v>
      </c>
      <c r="AI724" s="135">
        <f t="shared" si="1168"/>
        <v>180</v>
      </c>
      <c r="AJ724" s="135">
        <f t="shared" si="1169"/>
        <v>60</v>
      </c>
      <c r="AK724" s="134">
        <f t="shared" si="1170"/>
        <v>1E-3</v>
      </c>
      <c r="AL724" s="135">
        <f t="shared" si="1171"/>
        <v>3</v>
      </c>
      <c r="AM724" s="135">
        <f t="shared" si="1172"/>
        <v>1500</v>
      </c>
      <c r="AN724" s="134">
        <f t="shared" si="1173"/>
        <v>0.1</v>
      </c>
      <c r="AO724" s="187">
        <f t="shared" si="1174"/>
        <v>145449</v>
      </c>
    </row>
    <row r="725" spans="1:41" x14ac:dyDescent="0.2">
      <c r="A725" s="3" t="s">
        <v>296</v>
      </c>
      <c r="B725" s="3" t="s">
        <v>296</v>
      </c>
      <c r="C725" s="55">
        <v>2109</v>
      </c>
      <c r="D725" s="79">
        <v>57.684699999999999</v>
      </c>
      <c r="E725" s="79">
        <v>11.7906</v>
      </c>
      <c r="F725" s="14">
        <v>8195</v>
      </c>
      <c r="G725" s="10">
        <v>0</v>
      </c>
      <c r="H725" s="122">
        <v>8</v>
      </c>
      <c r="I725" s="165">
        <v>-0.40500000000000003</v>
      </c>
      <c r="J725" s="11">
        <v>0.82899999999999996</v>
      </c>
      <c r="K725" s="11">
        <v>7.1999999999999995E-2</v>
      </c>
      <c r="L725" s="79">
        <v>0.14069999999999999</v>
      </c>
      <c r="M725" s="79" t="s">
        <v>282</v>
      </c>
      <c r="N725" s="79" t="s">
        <v>282</v>
      </c>
      <c r="O725" s="14">
        <v>180</v>
      </c>
      <c r="P725" s="14">
        <v>60</v>
      </c>
      <c r="Q725" s="11">
        <v>1E-3</v>
      </c>
      <c r="R725" s="14">
        <v>3</v>
      </c>
      <c r="S725" s="14">
        <v>1500</v>
      </c>
      <c r="T725" s="11">
        <v>0.1</v>
      </c>
      <c r="U725" s="122">
        <v>143079</v>
      </c>
      <c r="V725" s="35"/>
      <c r="W725" s="99">
        <f t="shared" si="1138"/>
        <v>2109</v>
      </c>
      <c r="X725" s="100">
        <f t="shared" si="1139"/>
        <v>57.684699999999999</v>
      </c>
      <c r="Y725" s="100">
        <f t="shared" si="1140"/>
        <v>11.7906</v>
      </c>
      <c r="Z725" s="22">
        <f t="shared" si="1141"/>
        <v>8195</v>
      </c>
      <c r="AA725" s="35">
        <f t="shared" si="1142"/>
        <v>0</v>
      </c>
      <c r="AB725" s="22">
        <f t="shared" si="1099"/>
        <v>8</v>
      </c>
      <c r="AC725" s="137">
        <f>ROUND(I725+mwreg!$G$78/100,3)</f>
        <v>-0.38100000000000001</v>
      </c>
      <c r="AD725" s="134">
        <f>ROUND(J725+mwreg!$G$78/100,3)</f>
        <v>0.85299999999999998</v>
      </c>
      <c r="AE725" s="134">
        <f>ROUND(K725+mwreg!$G$78/100,3)</f>
        <v>9.6000000000000002E-2</v>
      </c>
      <c r="AF725" s="132">
        <f t="shared" si="1175"/>
        <v>0.14069999999999999</v>
      </c>
      <c r="AG725" s="132" t="str">
        <f t="shared" si="1176"/>
        <v>NaN</v>
      </c>
      <c r="AH725" s="164" t="str">
        <f t="shared" si="1167"/>
        <v>NaN</v>
      </c>
      <c r="AI725" s="135">
        <f t="shared" si="1168"/>
        <v>180</v>
      </c>
      <c r="AJ725" s="135">
        <f t="shared" si="1169"/>
        <v>60</v>
      </c>
      <c r="AK725" s="134">
        <f t="shared" si="1170"/>
        <v>1E-3</v>
      </c>
      <c r="AL725" s="135">
        <f t="shared" si="1171"/>
        <v>3</v>
      </c>
      <c r="AM725" s="135">
        <f t="shared" si="1172"/>
        <v>1500</v>
      </c>
      <c r="AN725" s="134">
        <f t="shared" si="1173"/>
        <v>0.1</v>
      </c>
      <c r="AO725" s="187">
        <f t="shared" si="1174"/>
        <v>143079</v>
      </c>
    </row>
    <row r="726" spans="1:41" x14ac:dyDescent="0.2">
      <c r="A726" s="3" t="s">
        <v>296</v>
      </c>
      <c r="B726" s="3" t="s">
        <v>296</v>
      </c>
      <c r="C726" s="55">
        <v>2109</v>
      </c>
      <c r="D726" s="79">
        <v>57.684699999999999</v>
      </c>
      <c r="E726" s="79">
        <v>11.7906</v>
      </c>
      <c r="F726" s="14">
        <v>8195</v>
      </c>
      <c r="G726" s="10">
        <v>0</v>
      </c>
      <c r="H726" s="122">
        <v>9</v>
      </c>
      <c r="I726" s="165">
        <v>-0.55800000000000005</v>
      </c>
      <c r="J726" s="11">
        <v>1.1319999999999999</v>
      </c>
      <c r="K726" s="11">
        <v>9.2999999999999999E-2</v>
      </c>
      <c r="L726" s="79">
        <v>0.18720000000000001</v>
      </c>
      <c r="M726" s="79" t="s">
        <v>282</v>
      </c>
      <c r="N726" s="79" t="s">
        <v>282</v>
      </c>
      <c r="O726" s="14">
        <v>180</v>
      </c>
      <c r="P726" s="14">
        <v>60</v>
      </c>
      <c r="Q726" s="11">
        <v>1E-3</v>
      </c>
      <c r="R726" s="14">
        <v>3</v>
      </c>
      <c r="S726" s="14">
        <v>1500</v>
      </c>
      <c r="T726" s="11">
        <v>0.1</v>
      </c>
      <c r="U726" s="122">
        <v>137739</v>
      </c>
      <c r="V726" s="35"/>
      <c r="W726" s="99">
        <f t="shared" si="1138"/>
        <v>2109</v>
      </c>
      <c r="X726" s="100">
        <f t="shared" si="1139"/>
        <v>57.684699999999999</v>
      </c>
      <c r="Y726" s="100">
        <f t="shared" si="1140"/>
        <v>11.7906</v>
      </c>
      <c r="Z726" s="22">
        <f t="shared" si="1141"/>
        <v>8195</v>
      </c>
      <c r="AA726" s="35">
        <f t="shared" si="1142"/>
        <v>0</v>
      </c>
      <c r="AB726" s="22">
        <f t="shared" si="1099"/>
        <v>9</v>
      </c>
      <c r="AC726" s="137">
        <f>ROUND(I726+mwreg!$G$78/100,3)</f>
        <v>-0.53400000000000003</v>
      </c>
      <c r="AD726" s="134">
        <f>ROUND(J726+mwreg!$G$78/100,3)</f>
        <v>1.1559999999999999</v>
      </c>
      <c r="AE726" s="134">
        <f>ROUND(K726+mwreg!$G$78/100,3)</f>
        <v>0.11700000000000001</v>
      </c>
      <c r="AF726" s="132">
        <f t="shared" si="1175"/>
        <v>0.18720000000000001</v>
      </c>
      <c r="AG726" s="132" t="str">
        <f t="shared" si="1176"/>
        <v>NaN</v>
      </c>
      <c r="AH726" s="164" t="str">
        <f t="shared" si="1167"/>
        <v>NaN</v>
      </c>
      <c r="AI726" s="135">
        <f t="shared" si="1168"/>
        <v>180</v>
      </c>
      <c r="AJ726" s="135">
        <f t="shared" si="1169"/>
        <v>60</v>
      </c>
      <c r="AK726" s="134">
        <f t="shared" si="1170"/>
        <v>1E-3</v>
      </c>
      <c r="AL726" s="135">
        <f t="shared" si="1171"/>
        <v>3</v>
      </c>
      <c r="AM726" s="135">
        <f t="shared" si="1172"/>
        <v>1500</v>
      </c>
      <c r="AN726" s="134">
        <f t="shared" si="1173"/>
        <v>0.1</v>
      </c>
      <c r="AO726" s="187">
        <f t="shared" si="1174"/>
        <v>137739</v>
      </c>
    </row>
    <row r="727" spans="1:41" x14ac:dyDescent="0.2">
      <c r="A727" s="3" t="s">
        <v>296</v>
      </c>
      <c r="B727" s="3" t="s">
        <v>296</v>
      </c>
      <c r="C727" s="55">
        <v>2109</v>
      </c>
      <c r="D727" s="79">
        <v>57.684699999999999</v>
      </c>
      <c r="E727" s="79">
        <v>11.7906</v>
      </c>
      <c r="F727" s="14">
        <v>8195</v>
      </c>
      <c r="G727" s="10">
        <v>0</v>
      </c>
      <c r="H727" s="122">
        <v>10</v>
      </c>
      <c r="I727" s="165">
        <v>-0.58099999999999996</v>
      </c>
      <c r="J727" s="11">
        <v>1.214</v>
      </c>
      <c r="K727" s="11">
        <v>8.6999999999999994E-2</v>
      </c>
      <c r="L727" s="79">
        <v>0.2137</v>
      </c>
      <c r="M727" s="79" t="s">
        <v>282</v>
      </c>
      <c r="N727" s="79" t="s">
        <v>282</v>
      </c>
      <c r="O727" s="14">
        <v>180</v>
      </c>
      <c r="P727" s="14">
        <v>60</v>
      </c>
      <c r="Q727" s="11">
        <v>1E-3</v>
      </c>
      <c r="R727" s="14">
        <v>3</v>
      </c>
      <c r="S727" s="14">
        <v>1500</v>
      </c>
      <c r="T727" s="11">
        <v>0.1</v>
      </c>
      <c r="U727" s="122">
        <v>141769</v>
      </c>
      <c r="V727" s="35"/>
      <c r="W727" s="99">
        <f t="shared" si="1138"/>
        <v>2109</v>
      </c>
      <c r="X727" s="100">
        <f t="shared" si="1139"/>
        <v>57.684699999999999</v>
      </c>
      <c r="Y727" s="100">
        <f t="shared" si="1140"/>
        <v>11.7906</v>
      </c>
      <c r="Z727" s="22">
        <f t="shared" si="1141"/>
        <v>8195</v>
      </c>
      <c r="AA727" s="35">
        <f t="shared" si="1142"/>
        <v>0</v>
      </c>
      <c r="AB727" s="22">
        <f t="shared" si="1099"/>
        <v>10</v>
      </c>
      <c r="AC727" s="137">
        <f>ROUND(I727+mwreg!$G$78/100,3)</f>
        <v>-0.55700000000000005</v>
      </c>
      <c r="AD727" s="134">
        <f>ROUND(J727+mwreg!$G$78/100,3)</f>
        <v>1.238</v>
      </c>
      <c r="AE727" s="134">
        <f>ROUND(K727+mwreg!$G$78/100,3)</f>
        <v>0.111</v>
      </c>
      <c r="AF727" s="132">
        <f t="shared" si="1175"/>
        <v>0.2137</v>
      </c>
      <c r="AG727" s="132" t="str">
        <f t="shared" si="1176"/>
        <v>NaN</v>
      </c>
      <c r="AH727" s="164" t="str">
        <f t="shared" si="1167"/>
        <v>NaN</v>
      </c>
      <c r="AI727" s="135">
        <f t="shared" si="1168"/>
        <v>180</v>
      </c>
      <c r="AJ727" s="135">
        <f t="shared" si="1169"/>
        <v>60</v>
      </c>
      <c r="AK727" s="134">
        <f t="shared" si="1170"/>
        <v>1E-3</v>
      </c>
      <c r="AL727" s="135">
        <f t="shared" si="1171"/>
        <v>3</v>
      </c>
      <c r="AM727" s="135">
        <f t="shared" si="1172"/>
        <v>1500</v>
      </c>
      <c r="AN727" s="134">
        <f t="shared" si="1173"/>
        <v>0.1</v>
      </c>
      <c r="AO727" s="187">
        <f t="shared" si="1174"/>
        <v>141769</v>
      </c>
    </row>
    <row r="728" spans="1:41" x14ac:dyDescent="0.2">
      <c r="A728" s="3" t="s">
        <v>296</v>
      </c>
      <c r="B728" s="3" t="s">
        <v>296</v>
      </c>
      <c r="C728" s="55">
        <v>2109</v>
      </c>
      <c r="D728" s="79">
        <v>57.684699999999999</v>
      </c>
      <c r="E728" s="79">
        <v>11.7906</v>
      </c>
      <c r="F728" s="14">
        <v>8195</v>
      </c>
      <c r="G728" s="10">
        <v>0</v>
      </c>
      <c r="H728" s="122">
        <v>11</v>
      </c>
      <c r="I728" s="165">
        <v>-0.68400000000000005</v>
      </c>
      <c r="J728" s="11">
        <v>1.4990000000000001</v>
      </c>
      <c r="K728" s="11">
        <v>0.113</v>
      </c>
      <c r="L728" s="79">
        <v>0.22770000000000001</v>
      </c>
      <c r="M728" s="79" t="s">
        <v>282</v>
      </c>
      <c r="N728" s="79" t="s">
        <v>282</v>
      </c>
      <c r="O728" s="14">
        <v>180</v>
      </c>
      <c r="P728" s="14">
        <v>60</v>
      </c>
      <c r="Q728" s="11">
        <v>1E-3</v>
      </c>
      <c r="R728" s="14">
        <v>3</v>
      </c>
      <c r="S728" s="14">
        <v>1500</v>
      </c>
      <c r="T728" s="11">
        <v>0.1</v>
      </c>
      <c r="U728" s="122">
        <v>137693</v>
      </c>
      <c r="V728" s="35"/>
      <c r="W728" s="99">
        <f t="shared" si="1138"/>
        <v>2109</v>
      </c>
      <c r="X728" s="100">
        <f t="shared" si="1139"/>
        <v>57.684699999999999</v>
      </c>
      <c r="Y728" s="100">
        <f t="shared" si="1140"/>
        <v>11.7906</v>
      </c>
      <c r="Z728" s="22">
        <f t="shared" si="1141"/>
        <v>8195</v>
      </c>
      <c r="AA728" s="35">
        <f t="shared" si="1142"/>
        <v>0</v>
      </c>
      <c r="AB728" s="22">
        <f t="shared" si="1099"/>
        <v>11</v>
      </c>
      <c r="AC728" s="137">
        <f>ROUND(I728+mwreg!$G$78/100,3)</f>
        <v>-0.66</v>
      </c>
      <c r="AD728" s="134">
        <f>ROUND(J728+mwreg!$G$78/100,3)</f>
        <v>1.5229999999999999</v>
      </c>
      <c r="AE728" s="134">
        <f>ROUND(K728+mwreg!$G$78/100,3)</f>
        <v>0.13700000000000001</v>
      </c>
      <c r="AF728" s="132">
        <f t="shared" si="1175"/>
        <v>0.22770000000000001</v>
      </c>
      <c r="AG728" s="132" t="str">
        <f t="shared" si="1176"/>
        <v>NaN</v>
      </c>
      <c r="AH728" s="164" t="str">
        <f t="shared" si="1167"/>
        <v>NaN</v>
      </c>
      <c r="AI728" s="135">
        <f t="shared" si="1168"/>
        <v>180</v>
      </c>
      <c r="AJ728" s="135">
        <f t="shared" si="1169"/>
        <v>60</v>
      </c>
      <c r="AK728" s="134">
        <f t="shared" si="1170"/>
        <v>1E-3</v>
      </c>
      <c r="AL728" s="135">
        <f t="shared" si="1171"/>
        <v>3</v>
      </c>
      <c r="AM728" s="135">
        <f t="shared" si="1172"/>
        <v>1500</v>
      </c>
      <c r="AN728" s="134">
        <f t="shared" si="1173"/>
        <v>0.1</v>
      </c>
      <c r="AO728" s="187">
        <f t="shared" si="1174"/>
        <v>137693</v>
      </c>
    </row>
    <row r="729" spans="1:41" x14ac:dyDescent="0.2">
      <c r="A729" s="3" t="s">
        <v>296</v>
      </c>
      <c r="B729" s="3" t="s">
        <v>296</v>
      </c>
      <c r="C729" s="55">
        <v>2109</v>
      </c>
      <c r="D729" s="79">
        <v>57.684699999999999</v>
      </c>
      <c r="E729" s="79">
        <v>11.7906</v>
      </c>
      <c r="F729" s="14">
        <v>8195</v>
      </c>
      <c r="G729" s="10">
        <v>0</v>
      </c>
      <c r="H729" s="122">
        <v>12</v>
      </c>
      <c r="I729" s="165">
        <v>-0.84599999999999997</v>
      </c>
      <c r="J729" s="11">
        <v>1.474</v>
      </c>
      <c r="K729" s="11">
        <v>0.09</v>
      </c>
      <c r="L729" s="79">
        <v>0.26729999999999998</v>
      </c>
      <c r="M729" s="79" t="s">
        <v>282</v>
      </c>
      <c r="N729" s="79" t="s">
        <v>282</v>
      </c>
      <c r="O729" s="14">
        <v>180</v>
      </c>
      <c r="P729" s="14">
        <v>60</v>
      </c>
      <c r="Q729" s="11">
        <v>1E-3</v>
      </c>
      <c r="R729" s="14">
        <v>3</v>
      </c>
      <c r="S729" s="14">
        <v>1500</v>
      </c>
      <c r="T729" s="11">
        <v>0.1</v>
      </c>
      <c r="U729" s="122">
        <v>168749</v>
      </c>
      <c r="V729" s="35"/>
      <c r="W729" s="99">
        <f t="shared" si="1138"/>
        <v>2109</v>
      </c>
      <c r="X729" s="100">
        <f t="shared" si="1139"/>
        <v>57.684699999999999</v>
      </c>
      <c r="Y729" s="100">
        <f t="shared" si="1140"/>
        <v>11.7906</v>
      </c>
      <c r="Z729" s="22">
        <f t="shared" si="1141"/>
        <v>8195</v>
      </c>
      <c r="AA729" s="35">
        <f t="shared" si="1142"/>
        <v>0</v>
      </c>
      <c r="AB729" s="22">
        <f t="shared" si="1099"/>
        <v>12</v>
      </c>
      <c r="AC729" s="137">
        <f>ROUND(I729+mwreg!$G$78/100,3)</f>
        <v>-0.82199999999999995</v>
      </c>
      <c r="AD729" s="134">
        <f>ROUND(J729+mwreg!$G$78/100,3)</f>
        <v>1.498</v>
      </c>
      <c r="AE729" s="134">
        <f>ROUND(K729+mwreg!$G$78/100,3)</f>
        <v>0.114</v>
      </c>
      <c r="AF729" s="132">
        <f t="shared" si="1175"/>
        <v>0.26729999999999998</v>
      </c>
      <c r="AG729" s="132" t="str">
        <f t="shared" si="1176"/>
        <v>NaN</v>
      </c>
      <c r="AH729" s="164" t="str">
        <f t="shared" si="1167"/>
        <v>NaN</v>
      </c>
      <c r="AI729" s="135">
        <f t="shared" si="1168"/>
        <v>180</v>
      </c>
      <c r="AJ729" s="135">
        <f t="shared" si="1169"/>
        <v>60</v>
      </c>
      <c r="AK729" s="134">
        <f t="shared" si="1170"/>
        <v>1E-3</v>
      </c>
      <c r="AL729" s="135">
        <f t="shared" si="1171"/>
        <v>3</v>
      </c>
      <c r="AM729" s="135">
        <f t="shared" si="1172"/>
        <v>1500</v>
      </c>
      <c r="AN729" s="134">
        <f t="shared" si="1173"/>
        <v>0.1</v>
      </c>
      <c r="AO729" s="187">
        <f t="shared" si="1174"/>
        <v>168749</v>
      </c>
    </row>
    <row r="730" spans="1:41" x14ac:dyDescent="0.2">
      <c r="A730" s="3">
        <f>stat_uppg!A69</f>
        <v>35120</v>
      </c>
      <c r="B730" s="3" t="str">
        <f>stat_uppg!B69</f>
        <v>TÅNGUDDEN GBG HAMN (SJÖV)</v>
      </c>
      <c r="C730" s="176">
        <v>35120</v>
      </c>
      <c r="D730" s="105">
        <v>57.682200000000002</v>
      </c>
      <c r="E730" s="105">
        <v>11.8725</v>
      </c>
      <c r="F730" s="20">
        <v>8195</v>
      </c>
      <c r="G730" s="18">
        <v>0</v>
      </c>
      <c r="H730" s="53">
        <v>1</v>
      </c>
      <c r="I730" s="167">
        <f t="shared" ref="I730:K741" si="1177">ROUND(0.709*I718+0.291*I766,3)</f>
        <v>-1.115</v>
      </c>
      <c r="J730" s="104">
        <f t="shared" si="1177"/>
        <v>1.4930000000000001</v>
      </c>
      <c r="K730" s="104">
        <f t="shared" si="1177"/>
        <v>7.0999999999999994E-2</v>
      </c>
      <c r="L730" s="105">
        <f t="shared" ref="L730:L741" si="1178">ROUND(0.709*L718+0.291*L766,4)</f>
        <v>0.27100000000000002</v>
      </c>
      <c r="M730" s="105" t="s">
        <v>282</v>
      </c>
      <c r="N730" s="105" t="s">
        <v>282</v>
      </c>
      <c r="O730" s="20">
        <f t="shared" ref="O730:P741" si="1179">ROUND(0.709*O718+0.291*O766,0)</f>
        <v>180</v>
      </c>
      <c r="P730" s="20">
        <f t="shared" si="1179"/>
        <v>60</v>
      </c>
      <c r="Q730" s="104">
        <f t="shared" ref="Q730:Q741" si="1180">ROUND(0.709*Q718+0.291*Q766,3)</f>
        <v>1E-3</v>
      </c>
      <c r="R730" s="20">
        <f t="shared" ref="R730:S741" si="1181">ROUND(0.709*R718+0.291*R766,0)</f>
        <v>3</v>
      </c>
      <c r="S730" s="20">
        <f t="shared" si="1181"/>
        <v>1500</v>
      </c>
      <c r="T730" s="104">
        <f t="shared" ref="T730:T741" si="1182">ROUND(0.709*T718+0.291*T766,3)</f>
        <v>0.1</v>
      </c>
      <c r="U730" s="123" t="s">
        <v>282</v>
      </c>
      <c r="V730" s="21"/>
      <c r="W730" s="58">
        <f t="shared" si="1138"/>
        <v>35120</v>
      </c>
      <c r="X730" s="102">
        <f t="shared" si="1139"/>
        <v>57.682200000000002</v>
      </c>
      <c r="Y730" s="102">
        <f t="shared" si="1140"/>
        <v>11.8725</v>
      </c>
      <c r="Z730" s="21">
        <f t="shared" si="1141"/>
        <v>8195</v>
      </c>
      <c r="AA730" s="44">
        <f t="shared" si="1142"/>
        <v>0</v>
      </c>
      <c r="AB730" s="21">
        <f t="shared" si="1099"/>
        <v>1</v>
      </c>
      <c r="AC730" s="119">
        <f>ROUND(I730+mwreg!$G$79/100,3)</f>
        <v>-1.0760000000000001</v>
      </c>
      <c r="AD730" s="108">
        <f>ROUND(J730+mwreg!$G$79/100,3)</f>
        <v>1.532</v>
      </c>
      <c r="AE730" s="108">
        <f>ROUND(K730+mwreg!$G$79/100,3)</f>
        <v>0.11</v>
      </c>
      <c r="AF730" s="102">
        <f t="shared" ref="AF730:AF765" si="1183">L730</f>
        <v>0.27100000000000002</v>
      </c>
      <c r="AG730" s="102" t="str">
        <f t="shared" ref="AG730:AG765" si="1184">M730</f>
        <v>NaN</v>
      </c>
      <c r="AH730" s="109" t="str">
        <f t="shared" si="1167"/>
        <v>NaN</v>
      </c>
      <c r="AI730" s="110">
        <f t="shared" si="1168"/>
        <v>180</v>
      </c>
      <c r="AJ730" s="110">
        <f t="shared" si="1169"/>
        <v>60</v>
      </c>
      <c r="AK730" s="108">
        <f t="shared" si="1170"/>
        <v>1E-3</v>
      </c>
      <c r="AL730" s="110">
        <f t="shared" si="1171"/>
        <v>3</v>
      </c>
      <c r="AM730" s="110">
        <f t="shared" si="1172"/>
        <v>1500</v>
      </c>
      <c r="AN730" s="108">
        <f t="shared" si="1173"/>
        <v>0.1</v>
      </c>
      <c r="AO730" s="186" t="str">
        <f t="shared" si="1174"/>
        <v>NaN</v>
      </c>
    </row>
    <row r="731" spans="1:41" x14ac:dyDescent="0.2">
      <c r="A731" s="3" t="s">
        <v>296</v>
      </c>
      <c r="B731" s="3" t="s">
        <v>296</v>
      </c>
      <c r="C731" s="176">
        <v>35120</v>
      </c>
      <c r="D731" s="105">
        <v>57.682200000000002</v>
      </c>
      <c r="E731" s="105">
        <v>11.8725</v>
      </c>
      <c r="F731" s="20">
        <v>8195</v>
      </c>
      <c r="G731" s="18">
        <v>0</v>
      </c>
      <c r="H731" s="53">
        <v>2</v>
      </c>
      <c r="I731" s="167">
        <f t="shared" si="1177"/>
        <v>-0.83899999999999997</v>
      </c>
      <c r="J731" s="104">
        <f t="shared" si="1177"/>
        <v>1.3580000000000001</v>
      </c>
      <c r="K731" s="104">
        <f t="shared" si="1177"/>
        <v>-2.5000000000000001E-2</v>
      </c>
      <c r="L731" s="105">
        <f t="shared" si="1178"/>
        <v>0.24099999999999999</v>
      </c>
      <c r="M731" s="105" t="s">
        <v>282</v>
      </c>
      <c r="N731" s="105" t="s">
        <v>282</v>
      </c>
      <c r="O731" s="20">
        <f t="shared" si="1179"/>
        <v>180</v>
      </c>
      <c r="P731" s="20">
        <f t="shared" si="1179"/>
        <v>60</v>
      </c>
      <c r="Q731" s="104">
        <f t="shared" si="1180"/>
        <v>1E-3</v>
      </c>
      <c r="R731" s="20">
        <f t="shared" si="1181"/>
        <v>3</v>
      </c>
      <c r="S731" s="20">
        <f t="shared" si="1181"/>
        <v>1500</v>
      </c>
      <c r="T731" s="104">
        <f t="shared" si="1182"/>
        <v>0.1</v>
      </c>
      <c r="U731" s="123" t="s">
        <v>282</v>
      </c>
      <c r="V731" s="21"/>
      <c r="W731" s="58">
        <f t="shared" si="1138"/>
        <v>35120</v>
      </c>
      <c r="X731" s="102">
        <f t="shared" si="1139"/>
        <v>57.682200000000002</v>
      </c>
      <c r="Y731" s="102">
        <f t="shared" si="1140"/>
        <v>11.8725</v>
      </c>
      <c r="Z731" s="21">
        <f t="shared" si="1141"/>
        <v>8195</v>
      </c>
      <c r="AA731" s="44">
        <f t="shared" si="1142"/>
        <v>0</v>
      </c>
      <c r="AB731" s="21">
        <f t="shared" si="1099"/>
        <v>2</v>
      </c>
      <c r="AC731" s="119">
        <f>ROUND(I731+mwreg!$G$79/100,3)</f>
        <v>-0.8</v>
      </c>
      <c r="AD731" s="108">
        <f>ROUND(J731+mwreg!$G$79/100,3)</f>
        <v>1.397</v>
      </c>
      <c r="AE731" s="108">
        <f>ROUND(K731+mwreg!$G$79/100,3)</f>
        <v>1.4E-2</v>
      </c>
      <c r="AF731" s="102">
        <f t="shared" si="1183"/>
        <v>0.24099999999999999</v>
      </c>
      <c r="AG731" s="102" t="str">
        <f t="shared" si="1184"/>
        <v>NaN</v>
      </c>
      <c r="AH731" s="109" t="str">
        <f t="shared" si="1167"/>
        <v>NaN</v>
      </c>
      <c r="AI731" s="110">
        <f t="shared" si="1168"/>
        <v>180</v>
      </c>
      <c r="AJ731" s="110">
        <f t="shared" si="1169"/>
        <v>60</v>
      </c>
      <c r="AK731" s="108">
        <f t="shared" si="1170"/>
        <v>1E-3</v>
      </c>
      <c r="AL731" s="110">
        <f t="shared" si="1171"/>
        <v>3</v>
      </c>
      <c r="AM731" s="110">
        <f t="shared" si="1172"/>
        <v>1500</v>
      </c>
      <c r="AN731" s="108">
        <f t="shared" si="1173"/>
        <v>0.1</v>
      </c>
      <c r="AO731" s="186" t="str">
        <f t="shared" si="1174"/>
        <v>NaN</v>
      </c>
    </row>
    <row r="732" spans="1:41" x14ac:dyDescent="0.2">
      <c r="A732" s="3" t="s">
        <v>296</v>
      </c>
      <c r="B732" s="3" t="s">
        <v>296</v>
      </c>
      <c r="C732" s="176">
        <v>35120</v>
      </c>
      <c r="D732" s="105">
        <v>57.682200000000002</v>
      </c>
      <c r="E732" s="105">
        <v>11.8725</v>
      </c>
      <c r="F732" s="20">
        <v>8195</v>
      </c>
      <c r="G732" s="18">
        <v>0</v>
      </c>
      <c r="H732" s="53">
        <v>3</v>
      </c>
      <c r="I732" s="167">
        <f t="shared" si="1177"/>
        <v>-0.81699999999999995</v>
      </c>
      <c r="J732" s="104">
        <f t="shared" si="1177"/>
        <v>1.2669999999999999</v>
      </c>
      <c r="K732" s="104">
        <f t="shared" si="1177"/>
        <v>-5.7000000000000002E-2</v>
      </c>
      <c r="L732" s="105">
        <f t="shared" si="1178"/>
        <v>0.22509999999999999</v>
      </c>
      <c r="M732" s="105" t="s">
        <v>282</v>
      </c>
      <c r="N732" s="105" t="s">
        <v>282</v>
      </c>
      <c r="O732" s="20">
        <f t="shared" si="1179"/>
        <v>180</v>
      </c>
      <c r="P732" s="20">
        <f t="shared" si="1179"/>
        <v>60</v>
      </c>
      <c r="Q732" s="104">
        <f t="shared" si="1180"/>
        <v>1E-3</v>
      </c>
      <c r="R732" s="20">
        <f t="shared" si="1181"/>
        <v>3</v>
      </c>
      <c r="S732" s="20">
        <f t="shared" si="1181"/>
        <v>1500</v>
      </c>
      <c r="T732" s="104">
        <f t="shared" si="1182"/>
        <v>0.1</v>
      </c>
      <c r="U732" s="123" t="s">
        <v>282</v>
      </c>
      <c r="V732" s="21"/>
      <c r="W732" s="58">
        <f t="shared" si="1138"/>
        <v>35120</v>
      </c>
      <c r="X732" s="102">
        <f t="shared" si="1139"/>
        <v>57.682200000000002</v>
      </c>
      <c r="Y732" s="102">
        <f t="shared" si="1140"/>
        <v>11.8725</v>
      </c>
      <c r="Z732" s="21">
        <f t="shared" si="1141"/>
        <v>8195</v>
      </c>
      <c r="AA732" s="44">
        <f t="shared" si="1142"/>
        <v>0</v>
      </c>
      <c r="AB732" s="21">
        <f t="shared" si="1099"/>
        <v>3</v>
      </c>
      <c r="AC732" s="119">
        <f>ROUND(I732+mwreg!$G$79/100,3)</f>
        <v>-0.77800000000000002</v>
      </c>
      <c r="AD732" s="108">
        <f>ROUND(J732+mwreg!$G$79/100,3)</f>
        <v>1.306</v>
      </c>
      <c r="AE732" s="108">
        <f>ROUND(K732+mwreg!$G$79/100,3)</f>
        <v>-1.7999999999999999E-2</v>
      </c>
      <c r="AF732" s="102">
        <f t="shared" si="1183"/>
        <v>0.22509999999999999</v>
      </c>
      <c r="AG732" s="102" t="str">
        <f t="shared" si="1184"/>
        <v>NaN</v>
      </c>
      <c r="AH732" s="109" t="str">
        <f t="shared" si="1167"/>
        <v>NaN</v>
      </c>
      <c r="AI732" s="110">
        <f t="shared" si="1168"/>
        <v>180</v>
      </c>
      <c r="AJ732" s="110">
        <f t="shared" si="1169"/>
        <v>60</v>
      </c>
      <c r="AK732" s="108">
        <f t="shared" si="1170"/>
        <v>1E-3</v>
      </c>
      <c r="AL732" s="110">
        <f t="shared" si="1171"/>
        <v>3</v>
      </c>
      <c r="AM732" s="110">
        <f t="shared" si="1172"/>
        <v>1500</v>
      </c>
      <c r="AN732" s="108">
        <f t="shared" si="1173"/>
        <v>0.1</v>
      </c>
      <c r="AO732" s="186" t="str">
        <f t="shared" si="1174"/>
        <v>NaN</v>
      </c>
    </row>
    <row r="733" spans="1:41" x14ac:dyDescent="0.2">
      <c r="A733" s="3" t="s">
        <v>296</v>
      </c>
      <c r="B733" s="3" t="s">
        <v>296</v>
      </c>
      <c r="C733" s="176">
        <v>35120</v>
      </c>
      <c r="D733" s="105">
        <v>57.682200000000002</v>
      </c>
      <c r="E733" s="105">
        <v>11.8725</v>
      </c>
      <c r="F733" s="20">
        <v>8195</v>
      </c>
      <c r="G733" s="18">
        <v>0</v>
      </c>
      <c r="H733" s="53">
        <v>4</v>
      </c>
      <c r="I733" s="167">
        <f t="shared" si="1177"/>
        <v>-0.81299999999999994</v>
      </c>
      <c r="J733" s="104">
        <f t="shared" si="1177"/>
        <v>0.84899999999999998</v>
      </c>
      <c r="K733" s="104">
        <f t="shared" si="1177"/>
        <v>-8.5999999999999993E-2</v>
      </c>
      <c r="L733" s="105">
        <f t="shared" si="1178"/>
        <v>0.15620000000000001</v>
      </c>
      <c r="M733" s="105" t="s">
        <v>282</v>
      </c>
      <c r="N733" s="105" t="s">
        <v>282</v>
      </c>
      <c r="O733" s="20">
        <f t="shared" si="1179"/>
        <v>180</v>
      </c>
      <c r="P733" s="20">
        <f t="shared" si="1179"/>
        <v>60</v>
      </c>
      <c r="Q733" s="104">
        <f t="shared" si="1180"/>
        <v>1E-3</v>
      </c>
      <c r="R733" s="20">
        <f t="shared" si="1181"/>
        <v>3</v>
      </c>
      <c r="S733" s="20">
        <f t="shared" si="1181"/>
        <v>1500</v>
      </c>
      <c r="T733" s="104">
        <f t="shared" si="1182"/>
        <v>0.1</v>
      </c>
      <c r="U733" s="123" t="s">
        <v>282</v>
      </c>
      <c r="V733" s="21"/>
      <c r="W733" s="58">
        <f t="shared" si="1138"/>
        <v>35120</v>
      </c>
      <c r="X733" s="102">
        <f t="shared" si="1139"/>
        <v>57.682200000000002</v>
      </c>
      <c r="Y733" s="102">
        <f t="shared" si="1140"/>
        <v>11.8725</v>
      </c>
      <c r="Z733" s="21">
        <f t="shared" si="1141"/>
        <v>8195</v>
      </c>
      <c r="AA733" s="44">
        <f t="shared" si="1142"/>
        <v>0</v>
      </c>
      <c r="AB733" s="21">
        <f t="shared" si="1099"/>
        <v>4</v>
      </c>
      <c r="AC733" s="119">
        <f>ROUND(I733+mwreg!$G$79/100,3)</f>
        <v>-0.77400000000000002</v>
      </c>
      <c r="AD733" s="108">
        <f>ROUND(J733+mwreg!$G$79/100,3)</f>
        <v>0.88800000000000001</v>
      </c>
      <c r="AE733" s="108">
        <f>ROUND(K733+mwreg!$G$79/100,3)</f>
        <v>-4.7E-2</v>
      </c>
      <c r="AF733" s="102">
        <f t="shared" si="1183"/>
        <v>0.15620000000000001</v>
      </c>
      <c r="AG733" s="102" t="str">
        <f t="shared" si="1184"/>
        <v>NaN</v>
      </c>
      <c r="AH733" s="109" t="str">
        <f t="shared" si="1167"/>
        <v>NaN</v>
      </c>
      <c r="AI733" s="110">
        <f t="shared" si="1168"/>
        <v>180</v>
      </c>
      <c r="AJ733" s="110">
        <f t="shared" si="1169"/>
        <v>60</v>
      </c>
      <c r="AK733" s="108">
        <f t="shared" si="1170"/>
        <v>1E-3</v>
      </c>
      <c r="AL733" s="110">
        <f t="shared" si="1171"/>
        <v>3</v>
      </c>
      <c r="AM733" s="110">
        <f t="shared" si="1172"/>
        <v>1500</v>
      </c>
      <c r="AN733" s="108">
        <f t="shared" si="1173"/>
        <v>0.1</v>
      </c>
      <c r="AO733" s="186" t="str">
        <f t="shared" si="1174"/>
        <v>NaN</v>
      </c>
    </row>
    <row r="734" spans="1:41" x14ac:dyDescent="0.2">
      <c r="A734" s="3" t="s">
        <v>296</v>
      </c>
      <c r="B734" s="3" t="s">
        <v>296</v>
      </c>
      <c r="C734" s="176">
        <v>35120</v>
      </c>
      <c r="D734" s="105">
        <v>57.682200000000002</v>
      </c>
      <c r="E734" s="105">
        <v>11.8725</v>
      </c>
      <c r="F734" s="20">
        <v>8195</v>
      </c>
      <c r="G734" s="18">
        <v>0</v>
      </c>
      <c r="H734" s="53">
        <v>5</v>
      </c>
      <c r="I734" s="167">
        <f t="shared" si="1177"/>
        <v>-0.58599999999999997</v>
      </c>
      <c r="J734" s="104">
        <f t="shared" si="1177"/>
        <v>0.65200000000000002</v>
      </c>
      <c r="K734" s="104">
        <f t="shared" si="1177"/>
        <v>-6.2E-2</v>
      </c>
      <c r="L734" s="105">
        <f t="shared" si="1178"/>
        <v>0.14360000000000001</v>
      </c>
      <c r="M734" s="105" t="s">
        <v>282</v>
      </c>
      <c r="N734" s="105" t="s">
        <v>282</v>
      </c>
      <c r="O734" s="20">
        <f t="shared" si="1179"/>
        <v>180</v>
      </c>
      <c r="P734" s="20">
        <f t="shared" si="1179"/>
        <v>60</v>
      </c>
      <c r="Q734" s="104">
        <f t="shared" si="1180"/>
        <v>1E-3</v>
      </c>
      <c r="R734" s="20">
        <f t="shared" si="1181"/>
        <v>3</v>
      </c>
      <c r="S734" s="20">
        <f t="shared" si="1181"/>
        <v>1500</v>
      </c>
      <c r="T734" s="104">
        <f t="shared" si="1182"/>
        <v>0.1</v>
      </c>
      <c r="U734" s="123" t="s">
        <v>282</v>
      </c>
      <c r="V734" s="21"/>
      <c r="W734" s="58">
        <f t="shared" si="1138"/>
        <v>35120</v>
      </c>
      <c r="X734" s="102">
        <f t="shared" si="1139"/>
        <v>57.682200000000002</v>
      </c>
      <c r="Y734" s="102">
        <f t="shared" si="1140"/>
        <v>11.8725</v>
      </c>
      <c r="Z734" s="21">
        <f t="shared" si="1141"/>
        <v>8195</v>
      </c>
      <c r="AA734" s="44">
        <f t="shared" si="1142"/>
        <v>0</v>
      </c>
      <c r="AB734" s="21">
        <f t="shared" ref="AB734:AB833" si="1185">H734</f>
        <v>5</v>
      </c>
      <c r="AC734" s="119">
        <f>ROUND(I734+mwreg!$G$79/100,3)</f>
        <v>-0.54700000000000004</v>
      </c>
      <c r="AD734" s="108">
        <f>ROUND(J734+mwreg!$G$79/100,3)</f>
        <v>0.69099999999999995</v>
      </c>
      <c r="AE734" s="108">
        <f>ROUND(K734+mwreg!$G$79/100,3)</f>
        <v>-2.3E-2</v>
      </c>
      <c r="AF734" s="102">
        <f t="shared" si="1183"/>
        <v>0.14360000000000001</v>
      </c>
      <c r="AG734" s="102" t="str">
        <f t="shared" si="1184"/>
        <v>NaN</v>
      </c>
      <c r="AH734" s="109" t="str">
        <f t="shared" si="1167"/>
        <v>NaN</v>
      </c>
      <c r="AI734" s="110">
        <f t="shared" si="1168"/>
        <v>180</v>
      </c>
      <c r="AJ734" s="110">
        <f t="shared" si="1169"/>
        <v>60</v>
      </c>
      <c r="AK734" s="108">
        <f t="shared" si="1170"/>
        <v>1E-3</v>
      </c>
      <c r="AL734" s="110">
        <f t="shared" si="1171"/>
        <v>3</v>
      </c>
      <c r="AM734" s="110">
        <f t="shared" si="1172"/>
        <v>1500</v>
      </c>
      <c r="AN734" s="108">
        <f t="shared" si="1173"/>
        <v>0.1</v>
      </c>
      <c r="AO734" s="186" t="str">
        <f t="shared" si="1174"/>
        <v>NaN</v>
      </c>
    </row>
    <row r="735" spans="1:41" x14ac:dyDescent="0.2">
      <c r="A735" s="3" t="s">
        <v>296</v>
      </c>
      <c r="B735" s="3" t="s">
        <v>296</v>
      </c>
      <c r="C735" s="176">
        <v>35120</v>
      </c>
      <c r="D735" s="105">
        <v>57.682200000000002</v>
      </c>
      <c r="E735" s="105">
        <v>11.8725</v>
      </c>
      <c r="F735" s="20">
        <v>8195</v>
      </c>
      <c r="G735" s="18">
        <v>0</v>
      </c>
      <c r="H735" s="53">
        <v>6</v>
      </c>
      <c r="I735" s="167">
        <f t="shared" si="1177"/>
        <v>-0.49099999999999999</v>
      </c>
      <c r="J735" s="104">
        <f t="shared" si="1177"/>
        <v>0.83599999999999997</v>
      </c>
      <c r="K735" s="104">
        <f t="shared" si="1177"/>
        <v>-5.0000000000000001E-3</v>
      </c>
      <c r="L735" s="105">
        <f t="shared" si="1178"/>
        <v>0.13750000000000001</v>
      </c>
      <c r="M735" s="105" t="s">
        <v>282</v>
      </c>
      <c r="N735" s="105" t="s">
        <v>282</v>
      </c>
      <c r="O735" s="20">
        <f t="shared" si="1179"/>
        <v>180</v>
      </c>
      <c r="P735" s="20">
        <f t="shared" si="1179"/>
        <v>60</v>
      </c>
      <c r="Q735" s="104">
        <f t="shared" si="1180"/>
        <v>1E-3</v>
      </c>
      <c r="R735" s="20">
        <f t="shared" si="1181"/>
        <v>3</v>
      </c>
      <c r="S735" s="20">
        <f t="shared" si="1181"/>
        <v>1500</v>
      </c>
      <c r="T735" s="104">
        <f t="shared" si="1182"/>
        <v>0.1</v>
      </c>
      <c r="U735" s="123" t="s">
        <v>282</v>
      </c>
      <c r="V735" s="21"/>
      <c r="W735" s="58">
        <f t="shared" si="1138"/>
        <v>35120</v>
      </c>
      <c r="X735" s="102">
        <f t="shared" si="1139"/>
        <v>57.682200000000002</v>
      </c>
      <c r="Y735" s="102">
        <f t="shared" si="1140"/>
        <v>11.8725</v>
      </c>
      <c r="Z735" s="21">
        <f t="shared" si="1141"/>
        <v>8195</v>
      </c>
      <c r="AA735" s="44">
        <f t="shared" si="1142"/>
        <v>0</v>
      </c>
      <c r="AB735" s="21">
        <f t="shared" si="1185"/>
        <v>6</v>
      </c>
      <c r="AC735" s="119">
        <f>ROUND(I735+mwreg!$G$79/100,3)</f>
        <v>-0.45200000000000001</v>
      </c>
      <c r="AD735" s="108">
        <f>ROUND(J735+mwreg!$G$79/100,3)</f>
        <v>0.875</v>
      </c>
      <c r="AE735" s="108">
        <f>ROUND(K735+mwreg!$G$79/100,3)</f>
        <v>3.4000000000000002E-2</v>
      </c>
      <c r="AF735" s="102">
        <f t="shared" si="1183"/>
        <v>0.13750000000000001</v>
      </c>
      <c r="AG735" s="102" t="str">
        <f t="shared" si="1184"/>
        <v>NaN</v>
      </c>
      <c r="AH735" s="109" t="str">
        <f t="shared" si="1167"/>
        <v>NaN</v>
      </c>
      <c r="AI735" s="110">
        <f t="shared" si="1168"/>
        <v>180</v>
      </c>
      <c r="AJ735" s="110">
        <f t="shared" si="1169"/>
        <v>60</v>
      </c>
      <c r="AK735" s="108">
        <f t="shared" si="1170"/>
        <v>1E-3</v>
      </c>
      <c r="AL735" s="110">
        <f t="shared" si="1171"/>
        <v>3</v>
      </c>
      <c r="AM735" s="110">
        <f t="shared" si="1172"/>
        <v>1500</v>
      </c>
      <c r="AN735" s="108">
        <f t="shared" si="1173"/>
        <v>0.1</v>
      </c>
      <c r="AO735" s="186" t="str">
        <f t="shared" si="1174"/>
        <v>NaN</v>
      </c>
    </row>
    <row r="736" spans="1:41" x14ac:dyDescent="0.2">
      <c r="A736" s="3" t="s">
        <v>296</v>
      </c>
      <c r="B736" s="3" t="s">
        <v>296</v>
      </c>
      <c r="C736" s="176">
        <v>35120</v>
      </c>
      <c r="D736" s="105">
        <v>57.682200000000002</v>
      </c>
      <c r="E736" s="105">
        <v>11.8725</v>
      </c>
      <c r="F736" s="20">
        <v>8195</v>
      </c>
      <c r="G736" s="18">
        <v>0</v>
      </c>
      <c r="H736" s="53">
        <v>7</v>
      </c>
      <c r="I736" s="167">
        <f t="shared" si="1177"/>
        <v>-0.40600000000000003</v>
      </c>
      <c r="J736" s="104">
        <f t="shared" si="1177"/>
        <v>0.81299999999999994</v>
      </c>
      <c r="K736" s="104">
        <f t="shared" si="1177"/>
        <v>4.8000000000000001E-2</v>
      </c>
      <c r="L736" s="105">
        <f t="shared" si="1178"/>
        <v>0.1318</v>
      </c>
      <c r="M736" s="105" t="s">
        <v>282</v>
      </c>
      <c r="N736" s="105" t="s">
        <v>282</v>
      </c>
      <c r="O736" s="20">
        <f t="shared" si="1179"/>
        <v>180</v>
      </c>
      <c r="P736" s="20">
        <f t="shared" si="1179"/>
        <v>60</v>
      </c>
      <c r="Q736" s="104">
        <f t="shared" si="1180"/>
        <v>1E-3</v>
      </c>
      <c r="R736" s="20">
        <f t="shared" si="1181"/>
        <v>3</v>
      </c>
      <c r="S736" s="20">
        <f t="shared" si="1181"/>
        <v>1500</v>
      </c>
      <c r="T736" s="104">
        <f t="shared" si="1182"/>
        <v>0.1</v>
      </c>
      <c r="U736" s="123" t="s">
        <v>282</v>
      </c>
      <c r="V736" s="21"/>
      <c r="W736" s="58">
        <f t="shared" si="1138"/>
        <v>35120</v>
      </c>
      <c r="X736" s="102">
        <f t="shared" si="1139"/>
        <v>57.682200000000002</v>
      </c>
      <c r="Y736" s="102">
        <f t="shared" si="1140"/>
        <v>11.8725</v>
      </c>
      <c r="Z736" s="21">
        <f t="shared" si="1141"/>
        <v>8195</v>
      </c>
      <c r="AA736" s="44">
        <f t="shared" si="1142"/>
        <v>0</v>
      </c>
      <c r="AB736" s="21">
        <f t="shared" si="1185"/>
        <v>7</v>
      </c>
      <c r="AC736" s="119">
        <f>ROUND(I736+mwreg!$G$79/100,3)</f>
        <v>-0.36699999999999999</v>
      </c>
      <c r="AD736" s="108">
        <f>ROUND(J736+mwreg!$G$79/100,3)</f>
        <v>0.85199999999999998</v>
      </c>
      <c r="AE736" s="108">
        <f>ROUND(K736+mwreg!$G$79/100,3)</f>
        <v>8.6999999999999994E-2</v>
      </c>
      <c r="AF736" s="102">
        <f t="shared" si="1183"/>
        <v>0.1318</v>
      </c>
      <c r="AG736" s="102" t="str">
        <f t="shared" si="1184"/>
        <v>NaN</v>
      </c>
      <c r="AH736" s="109" t="str">
        <f t="shared" si="1167"/>
        <v>NaN</v>
      </c>
      <c r="AI736" s="110">
        <f t="shared" si="1168"/>
        <v>180</v>
      </c>
      <c r="AJ736" s="110">
        <f t="shared" si="1169"/>
        <v>60</v>
      </c>
      <c r="AK736" s="108">
        <f t="shared" si="1170"/>
        <v>1E-3</v>
      </c>
      <c r="AL736" s="110">
        <f t="shared" si="1171"/>
        <v>3</v>
      </c>
      <c r="AM736" s="110">
        <f t="shared" si="1172"/>
        <v>1500</v>
      </c>
      <c r="AN736" s="108">
        <f t="shared" si="1173"/>
        <v>0.1</v>
      </c>
      <c r="AO736" s="186" t="str">
        <f t="shared" si="1174"/>
        <v>NaN</v>
      </c>
    </row>
    <row r="737" spans="1:41" x14ac:dyDescent="0.2">
      <c r="A737" s="3" t="s">
        <v>296</v>
      </c>
      <c r="B737" s="3" t="s">
        <v>296</v>
      </c>
      <c r="C737" s="176">
        <v>35120</v>
      </c>
      <c r="D737" s="105">
        <v>57.682200000000002</v>
      </c>
      <c r="E737" s="105">
        <v>11.8725</v>
      </c>
      <c r="F737" s="20">
        <v>8195</v>
      </c>
      <c r="G737" s="18">
        <v>0</v>
      </c>
      <c r="H737" s="53">
        <v>8</v>
      </c>
      <c r="I737" s="167">
        <f t="shared" si="1177"/>
        <v>-0.40600000000000003</v>
      </c>
      <c r="J737" s="104">
        <f t="shared" si="1177"/>
        <v>0.86899999999999999</v>
      </c>
      <c r="K737" s="104">
        <f t="shared" si="1177"/>
        <v>7.1999999999999995E-2</v>
      </c>
      <c r="L737" s="105">
        <f t="shared" si="1178"/>
        <v>0.14080000000000001</v>
      </c>
      <c r="M737" s="105" t="s">
        <v>282</v>
      </c>
      <c r="N737" s="105" t="s">
        <v>282</v>
      </c>
      <c r="O737" s="20">
        <f t="shared" si="1179"/>
        <v>180</v>
      </c>
      <c r="P737" s="20">
        <f t="shared" si="1179"/>
        <v>60</v>
      </c>
      <c r="Q737" s="104">
        <f t="shared" si="1180"/>
        <v>1E-3</v>
      </c>
      <c r="R737" s="20">
        <f t="shared" si="1181"/>
        <v>3</v>
      </c>
      <c r="S737" s="20">
        <f t="shared" si="1181"/>
        <v>1500</v>
      </c>
      <c r="T737" s="104">
        <f t="shared" si="1182"/>
        <v>0.1</v>
      </c>
      <c r="U737" s="123" t="s">
        <v>282</v>
      </c>
      <c r="V737" s="21"/>
      <c r="W737" s="58">
        <f t="shared" si="1138"/>
        <v>35120</v>
      </c>
      <c r="X737" s="102">
        <f t="shared" si="1139"/>
        <v>57.682200000000002</v>
      </c>
      <c r="Y737" s="102">
        <f t="shared" si="1140"/>
        <v>11.8725</v>
      </c>
      <c r="Z737" s="21">
        <f t="shared" si="1141"/>
        <v>8195</v>
      </c>
      <c r="AA737" s="44">
        <f t="shared" si="1142"/>
        <v>0</v>
      </c>
      <c r="AB737" s="21">
        <f t="shared" si="1185"/>
        <v>8</v>
      </c>
      <c r="AC737" s="119">
        <f>ROUND(I737+mwreg!$G$79/100,3)</f>
        <v>-0.36699999999999999</v>
      </c>
      <c r="AD737" s="108">
        <f>ROUND(J737+mwreg!$G$79/100,3)</f>
        <v>0.90800000000000003</v>
      </c>
      <c r="AE737" s="108">
        <f>ROUND(K737+mwreg!$G$79/100,3)</f>
        <v>0.111</v>
      </c>
      <c r="AF737" s="102">
        <f t="shared" si="1183"/>
        <v>0.14080000000000001</v>
      </c>
      <c r="AG737" s="102" t="str">
        <f t="shared" si="1184"/>
        <v>NaN</v>
      </c>
      <c r="AH737" s="109" t="str">
        <f t="shared" si="1167"/>
        <v>NaN</v>
      </c>
      <c r="AI737" s="110">
        <f t="shared" si="1168"/>
        <v>180</v>
      </c>
      <c r="AJ737" s="110">
        <f t="shared" si="1169"/>
        <v>60</v>
      </c>
      <c r="AK737" s="108">
        <f t="shared" si="1170"/>
        <v>1E-3</v>
      </c>
      <c r="AL737" s="110">
        <f t="shared" si="1171"/>
        <v>3</v>
      </c>
      <c r="AM737" s="110">
        <f t="shared" si="1172"/>
        <v>1500</v>
      </c>
      <c r="AN737" s="108">
        <f t="shared" si="1173"/>
        <v>0.1</v>
      </c>
      <c r="AO737" s="186" t="str">
        <f t="shared" si="1174"/>
        <v>NaN</v>
      </c>
    </row>
    <row r="738" spans="1:41" x14ac:dyDescent="0.2">
      <c r="A738" s="3" t="s">
        <v>296</v>
      </c>
      <c r="B738" s="3" t="s">
        <v>296</v>
      </c>
      <c r="C738" s="176">
        <v>35120</v>
      </c>
      <c r="D738" s="105">
        <v>57.682200000000002</v>
      </c>
      <c r="E738" s="105">
        <v>11.8725</v>
      </c>
      <c r="F738" s="20">
        <v>8195</v>
      </c>
      <c r="G738" s="18">
        <v>0</v>
      </c>
      <c r="H738" s="53">
        <v>9</v>
      </c>
      <c r="I738" s="167">
        <f t="shared" si="1177"/>
        <v>-0.55800000000000005</v>
      </c>
      <c r="J738" s="104">
        <f t="shared" si="1177"/>
        <v>1.1519999999999999</v>
      </c>
      <c r="K738" s="104">
        <f t="shared" si="1177"/>
        <v>9.2999999999999999E-2</v>
      </c>
      <c r="L738" s="105">
        <f t="shared" si="1178"/>
        <v>0.18729999999999999</v>
      </c>
      <c r="M738" s="105" t="s">
        <v>282</v>
      </c>
      <c r="N738" s="105" t="s">
        <v>282</v>
      </c>
      <c r="O738" s="20">
        <f t="shared" si="1179"/>
        <v>180</v>
      </c>
      <c r="P738" s="20">
        <f t="shared" si="1179"/>
        <v>60</v>
      </c>
      <c r="Q738" s="104">
        <f t="shared" si="1180"/>
        <v>1E-3</v>
      </c>
      <c r="R738" s="20">
        <f t="shared" si="1181"/>
        <v>3</v>
      </c>
      <c r="S738" s="20">
        <f t="shared" si="1181"/>
        <v>1500</v>
      </c>
      <c r="T738" s="104">
        <f t="shared" si="1182"/>
        <v>0.1</v>
      </c>
      <c r="U738" s="123" t="s">
        <v>282</v>
      </c>
      <c r="V738" s="21"/>
      <c r="W738" s="58">
        <f t="shared" si="1138"/>
        <v>35120</v>
      </c>
      <c r="X738" s="102">
        <f t="shared" si="1139"/>
        <v>57.682200000000002</v>
      </c>
      <c r="Y738" s="102">
        <f t="shared" si="1140"/>
        <v>11.8725</v>
      </c>
      <c r="Z738" s="21">
        <f t="shared" si="1141"/>
        <v>8195</v>
      </c>
      <c r="AA738" s="44">
        <f t="shared" si="1142"/>
        <v>0</v>
      </c>
      <c r="AB738" s="21">
        <f t="shared" si="1185"/>
        <v>9</v>
      </c>
      <c r="AC738" s="119">
        <f>ROUND(I738+mwreg!$G$79/100,3)</f>
        <v>-0.51900000000000002</v>
      </c>
      <c r="AD738" s="108">
        <f>ROUND(J738+mwreg!$G$79/100,3)</f>
        <v>1.1910000000000001</v>
      </c>
      <c r="AE738" s="108">
        <f>ROUND(K738+mwreg!$G$79/100,3)</f>
        <v>0.13200000000000001</v>
      </c>
      <c r="AF738" s="102">
        <f t="shared" si="1183"/>
        <v>0.18729999999999999</v>
      </c>
      <c r="AG738" s="102" t="str">
        <f t="shared" si="1184"/>
        <v>NaN</v>
      </c>
      <c r="AH738" s="109" t="str">
        <f t="shared" si="1167"/>
        <v>NaN</v>
      </c>
      <c r="AI738" s="110">
        <f t="shared" si="1168"/>
        <v>180</v>
      </c>
      <c r="AJ738" s="110">
        <f t="shared" si="1169"/>
        <v>60</v>
      </c>
      <c r="AK738" s="108">
        <f t="shared" si="1170"/>
        <v>1E-3</v>
      </c>
      <c r="AL738" s="110">
        <f t="shared" si="1171"/>
        <v>3</v>
      </c>
      <c r="AM738" s="110">
        <f t="shared" si="1172"/>
        <v>1500</v>
      </c>
      <c r="AN738" s="108">
        <f t="shared" si="1173"/>
        <v>0.1</v>
      </c>
      <c r="AO738" s="186" t="str">
        <f t="shared" si="1174"/>
        <v>NaN</v>
      </c>
    </row>
    <row r="739" spans="1:41" x14ac:dyDescent="0.2">
      <c r="A739" s="3" t="s">
        <v>296</v>
      </c>
      <c r="B739" s="3" t="s">
        <v>296</v>
      </c>
      <c r="C739" s="176">
        <v>35120</v>
      </c>
      <c r="D739" s="105">
        <v>57.682200000000002</v>
      </c>
      <c r="E739" s="105">
        <v>11.8725</v>
      </c>
      <c r="F739" s="20">
        <v>8195</v>
      </c>
      <c r="G739" s="18">
        <v>0</v>
      </c>
      <c r="H739" s="53">
        <v>10</v>
      </c>
      <c r="I739" s="167">
        <f t="shared" si="1177"/>
        <v>-0.61899999999999999</v>
      </c>
      <c r="J739" s="104">
        <f t="shared" si="1177"/>
        <v>1.214</v>
      </c>
      <c r="K739" s="104">
        <f t="shared" si="1177"/>
        <v>8.6999999999999994E-2</v>
      </c>
      <c r="L739" s="105">
        <f t="shared" si="1178"/>
        <v>0.21379999999999999</v>
      </c>
      <c r="M739" s="105" t="s">
        <v>282</v>
      </c>
      <c r="N739" s="105" t="s">
        <v>282</v>
      </c>
      <c r="O739" s="20">
        <f t="shared" si="1179"/>
        <v>180</v>
      </c>
      <c r="P739" s="20">
        <f t="shared" si="1179"/>
        <v>60</v>
      </c>
      <c r="Q739" s="104">
        <f t="shared" si="1180"/>
        <v>1E-3</v>
      </c>
      <c r="R739" s="20">
        <f t="shared" si="1181"/>
        <v>3</v>
      </c>
      <c r="S739" s="20">
        <f t="shared" si="1181"/>
        <v>1500</v>
      </c>
      <c r="T739" s="104">
        <f t="shared" si="1182"/>
        <v>0.1</v>
      </c>
      <c r="U739" s="123" t="s">
        <v>282</v>
      </c>
      <c r="V739" s="21"/>
      <c r="W739" s="58">
        <f t="shared" si="1138"/>
        <v>35120</v>
      </c>
      <c r="X739" s="102">
        <f t="shared" si="1139"/>
        <v>57.682200000000002</v>
      </c>
      <c r="Y739" s="102">
        <f t="shared" si="1140"/>
        <v>11.8725</v>
      </c>
      <c r="Z739" s="21">
        <f t="shared" si="1141"/>
        <v>8195</v>
      </c>
      <c r="AA739" s="44">
        <f t="shared" si="1142"/>
        <v>0</v>
      </c>
      <c r="AB739" s="21">
        <f t="shared" si="1185"/>
        <v>10</v>
      </c>
      <c r="AC739" s="119">
        <f>ROUND(I739+mwreg!$G$79/100,3)</f>
        <v>-0.57999999999999996</v>
      </c>
      <c r="AD739" s="108">
        <f>ROUND(J739+mwreg!$G$79/100,3)</f>
        <v>1.2529999999999999</v>
      </c>
      <c r="AE739" s="108">
        <f>ROUND(K739+mwreg!$G$79/100,3)</f>
        <v>0.126</v>
      </c>
      <c r="AF739" s="102">
        <f t="shared" si="1183"/>
        <v>0.21379999999999999</v>
      </c>
      <c r="AG739" s="102" t="str">
        <f t="shared" si="1184"/>
        <v>NaN</v>
      </c>
      <c r="AH739" s="109" t="str">
        <f t="shared" si="1167"/>
        <v>NaN</v>
      </c>
      <c r="AI739" s="110">
        <f t="shared" si="1168"/>
        <v>180</v>
      </c>
      <c r="AJ739" s="110">
        <f t="shared" si="1169"/>
        <v>60</v>
      </c>
      <c r="AK739" s="108">
        <f t="shared" si="1170"/>
        <v>1E-3</v>
      </c>
      <c r="AL739" s="110">
        <f t="shared" si="1171"/>
        <v>3</v>
      </c>
      <c r="AM739" s="110">
        <f t="shared" si="1172"/>
        <v>1500</v>
      </c>
      <c r="AN739" s="108">
        <f t="shared" si="1173"/>
        <v>0.1</v>
      </c>
      <c r="AO739" s="186" t="str">
        <f t="shared" si="1174"/>
        <v>NaN</v>
      </c>
    </row>
    <row r="740" spans="1:41" x14ac:dyDescent="0.2">
      <c r="A740" s="3" t="s">
        <v>296</v>
      </c>
      <c r="B740" s="3" t="s">
        <v>296</v>
      </c>
      <c r="C740" s="176">
        <v>35120</v>
      </c>
      <c r="D740" s="105">
        <v>57.682200000000002</v>
      </c>
      <c r="E740" s="105">
        <v>11.8725</v>
      </c>
      <c r="F740" s="20">
        <v>8195</v>
      </c>
      <c r="G740" s="18">
        <v>0</v>
      </c>
      <c r="H740" s="53">
        <v>11</v>
      </c>
      <c r="I740" s="167">
        <f t="shared" si="1177"/>
        <v>-0.745</v>
      </c>
      <c r="J740" s="104">
        <f t="shared" si="1177"/>
        <v>1.5</v>
      </c>
      <c r="K740" s="104">
        <f t="shared" si="1177"/>
        <v>0.112</v>
      </c>
      <c r="L740" s="105">
        <f t="shared" si="1178"/>
        <v>0.22800000000000001</v>
      </c>
      <c r="M740" s="105" t="s">
        <v>282</v>
      </c>
      <c r="N740" s="105" t="s">
        <v>282</v>
      </c>
      <c r="O740" s="20">
        <f t="shared" si="1179"/>
        <v>180</v>
      </c>
      <c r="P740" s="20">
        <f t="shared" si="1179"/>
        <v>60</v>
      </c>
      <c r="Q740" s="104">
        <f t="shared" si="1180"/>
        <v>1E-3</v>
      </c>
      <c r="R740" s="20">
        <f t="shared" si="1181"/>
        <v>3</v>
      </c>
      <c r="S740" s="20">
        <f t="shared" si="1181"/>
        <v>1500</v>
      </c>
      <c r="T740" s="104">
        <f t="shared" si="1182"/>
        <v>0.1</v>
      </c>
      <c r="U740" s="123" t="s">
        <v>282</v>
      </c>
      <c r="V740" s="21"/>
      <c r="W740" s="58">
        <f t="shared" si="1138"/>
        <v>35120</v>
      </c>
      <c r="X740" s="102">
        <f t="shared" si="1139"/>
        <v>57.682200000000002</v>
      </c>
      <c r="Y740" s="102">
        <f t="shared" si="1140"/>
        <v>11.8725</v>
      </c>
      <c r="Z740" s="21">
        <f t="shared" si="1141"/>
        <v>8195</v>
      </c>
      <c r="AA740" s="44">
        <f t="shared" si="1142"/>
        <v>0</v>
      </c>
      <c r="AB740" s="21">
        <f t="shared" si="1185"/>
        <v>11</v>
      </c>
      <c r="AC740" s="119">
        <f>ROUND(I740+mwreg!$G$79/100,3)</f>
        <v>-0.70599999999999996</v>
      </c>
      <c r="AD740" s="108">
        <f>ROUND(J740+mwreg!$G$79/100,3)</f>
        <v>1.5389999999999999</v>
      </c>
      <c r="AE740" s="108">
        <f>ROUND(K740+mwreg!$G$79/100,3)</f>
        <v>0.151</v>
      </c>
      <c r="AF740" s="102">
        <f t="shared" si="1183"/>
        <v>0.22800000000000001</v>
      </c>
      <c r="AG740" s="102" t="str">
        <f t="shared" si="1184"/>
        <v>NaN</v>
      </c>
      <c r="AH740" s="109" t="str">
        <f t="shared" si="1167"/>
        <v>NaN</v>
      </c>
      <c r="AI740" s="110">
        <f t="shared" si="1168"/>
        <v>180</v>
      </c>
      <c r="AJ740" s="110">
        <f t="shared" si="1169"/>
        <v>60</v>
      </c>
      <c r="AK740" s="108">
        <f t="shared" si="1170"/>
        <v>1E-3</v>
      </c>
      <c r="AL740" s="110">
        <f t="shared" si="1171"/>
        <v>3</v>
      </c>
      <c r="AM740" s="110">
        <f t="shared" si="1172"/>
        <v>1500</v>
      </c>
      <c r="AN740" s="108">
        <f t="shared" si="1173"/>
        <v>0.1</v>
      </c>
      <c r="AO740" s="186" t="str">
        <f t="shared" si="1174"/>
        <v>NaN</v>
      </c>
    </row>
    <row r="741" spans="1:41" x14ac:dyDescent="0.2">
      <c r="A741" s="3" t="s">
        <v>296</v>
      </c>
      <c r="B741" s="3" t="s">
        <v>296</v>
      </c>
      <c r="C741" s="176">
        <v>35120</v>
      </c>
      <c r="D741" s="105">
        <v>57.682200000000002</v>
      </c>
      <c r="E741" s="105">
        <v>11.8725</v>
      </c>
      <c r="F741" s="20">
        <v>8195</v>
      </c>
      <c r="G741" s="18">
        <v>0</v>
      </c>
      <c r="H741" s="53">
        <v>12</v>
      </c>
      <c r="I741" s="167">
        <f t="shared" si="1177"/>
        <v>-0.86699999999999999</v>
      </c>
      <c r="J741" s="104">
        <f t="shared" si="1177"/>
        <v>1.528</v>
      </c>
      <c r="K741" s="104">
        <f t="shared" si="1177"/>
        <v>0.09</v>
      </c>
      <c r="L741" s="105">
        <f t="shared" si="1178"/>
        <v>0.26740000000000003</v>
      </c>
      <c r="M741" s="105" t="s">
        <v>282</v>
      </c>
      <c r="N741" s="105" t="s">
        <v>282</v>
      </c>
      <c r="O741" s="20">
        <f t="shared" si="1179"/>
        <v>180</v>
      </c>
      <c r="P741" s="20">
        <f t="shared" si="1179"/>
        <v>60</v>
      </c>
      <c r="Q741" s="104">
        <f t="shared" si="1180"/>
        <v>1E-3</v>
      </c>
      <c r="R741" s="20">
        <f t="shared" si="1181"/>
        <v>3</v>
      </c>
      <c r="S741" s="20">
        <f t="shared" si="1181"/>
        <v>1500</v>
      </c>
      <c r="T741" s="104">
        <f t="shared" si="1182"/>
        <v>0.1</v>
      </c>
      <c r="U741" s="123" t="s">
        <v>282</v>
      </c>
      <c r="V741" s="21"/>
      <c r="W741" s="58">
        <f t="shared" si="1138"/>
        <v>35120</v>
      </c>
      <c r="X741" s="102">
        <f t="shared" si="1139"/>
        <v>57.682200000000002</v>
      </c>
      <c r="Y741" s="102">
        <f t="shared" si="1140"/>
        <v>11.8725</v>
      </c>
      <c r="Z741" s="21">
        <f t="shared" si="1141"/>
        <v>8195</v>
      </c>
      <c r="AA741" s="44">
        <f t="shared" si="1142"/>
        <v>0</v>
      </c>
      <c r="AB741" s="21">
        <f t="shared" si="1185"/>
        <v>12</v>
      </c>
      <c r="AC741" s="119">
        <f>ROUND(I741+mwreg!$G$79/100,3)</f>
        <v>-0.82799999999999996</v>
      </c>
      <c r="AD741" s="108">
        <f>ROUND(J741+mwreg!$G$79/100,3)</f>
        <v>1.5669999999999999</v>
      </c>
      <c r="AE741" s="108">
        <f>ROUND(K741+mwreg!$G$79/100,3)</f>
        <v>0.129</v>
      </c>
      <c r="AF741" s="102">
        <f t="shared" si="1183"/>
        <v>0.26740000000000003</v>
      </c>
      <c r="AG741" s="102" t="str">
        <f t="shared" si="1184"/>
        <v>NaN</v>
      </c>
      <c r="AH741" s="109" t="str">
        <f t="shared" si="1167"/>
        <v>NaN</v>
      </c>
      <c r="AI741" s="110">
        <f t="shared" si="1168"/>
        <v>180</v>
      </c>
      <c r="AJ741" s="110">
        <f t="shared" si="1169"/>
        <v>60</v>
      </c>
      <c r="AK741" s="108">
        <f t="shared" si="1170"/>
        <v>1E-3</v>
      </c>
      <c r="AL741" s="110">
        <f t="shared" si="1171"/>
        <v>3</v>
      </c>
      <c r="AM741" s="110">
        <f t="shared" si="1172"/>
        <v>1500</v>
      </c>
      <c r="AN741" s="108">
        <f t="shared" si="1173"/>
        <v>0.1</v>
      </c>
      <c r="AO741" s="186" t="str">
        <f t="shared" si="1174"/>
        <v>NaN</v>
      </c>
    </row>
    <row r="742" spans="1:41" x14ac:dyDescent="0.2">
      <c r="A742" s="3" t="str">
        <f>stat_uppg!A71</f>
        <v>2108/33080</v>
      </c>
      <c r="B742" s="3" t="str">
        <f>stat_uppg!B71</f>
        <v>Göteborg-Klippan (SMHI) nedlagd</v>
      </c>
      <c r="C742" s="52">
        <v>2108</v>
      </c>
      <c r="D742" s="105">
        <v>57.691699999999997</v>
      </c>
      <c r="E742" s="160">
        <v>11.908300000000001</v>
      </c>
      <c r="F742" s="20">
        <v>8195</v>
      </c>
      <c r="G742" s="18">
        <v>0</v>
      </c>
      <c r="H742" s="53">
        <v>1</v>
      </c>
      <c r="I742" s="167">
        <f t="shared" ref="I742:K753" si="1186">ROUND(0.54*I718+0.46*I766,3)</f>
        <v>-1.115</v>
      </c>
      <c r="J742" s="104">
        <f t="shared" si="1186"/>
        <v>1.4930000000000001</v>
      </c>
      <c r="K742" s="104">
        <f t="shared" si="1186"/>
        <v>7.0999999999999994E-2</v>
      </c>
      <c r="L742" s="105">
        <f t="shared" ref="L742:L753" si="1187">ROUND(0.54*L718+0.46*L766,4)</f>
        <v>0.27110000000000001</v>
      </c>
      <c r="M742" s="105" t="s">
        <v>282</v>
      </c>
      <c r="N742" s="105" t="s">
        <v>282</v>
      </c>
      <c r="O742" s="20">
        <f t="shared" ref="O742:P753" si="1188">ROUND(0.54*O718+0.46*O766,0)</f>
        <v>180</v>
      </c>
      <c r="P742" s="20">
        <f t="shared" si="1188"/>
        <v>60</v>
      </c>
      <c r="Q742" s="104">
        <f t="shared" ref="Q742:Q753" si="1189">ROUND(0.54*Q718+0.46*Q766,3)</f>
        <v>1E-3</v>
      </c>
      <c r="R742" s="20">
        <f t="shared" ref="R742:S753" si="1190">ROUND(0.54*R718+0.46*R766,0)</f>
        <v>3</v>
      </c>
      <c r="S742" s="20">
        <f t="shared" si="1190"/>
        <v>1500</v>
      </c>
      <c r="T742" s="104">
        <f t="shared" ref="T742:T753" si="1191">ROUND(0.54*T718+0.46*T766,3)</f>
        <v>0.1</v>
      </c>
      <c r="U742" s="123" t="s">
        <v>282</v>
      </c>
      <c r="V742" s="21"/>
      <c r="W742" s="58">
        <f t="shared" si="1138"/>
        <v>2108</v>
      </c>
      <c r="X742" s="102">
        <f t="shared" si="1139"/>
        <v>57.691699999999997</v>
      </c>
      <c r="Y742" s="102">
        <f t="shared" si="1140"/>
        <v>11.908300000000001</v>
      </c>
      <c r="Z742" s="21">
        <f t="shared" si="1141"/>
        <v>8195</v>
      </c>
      <c r="AA742" s="44">
        <f t="shared" si="1142"/>
        <v>0</v>
      </c>
      <c r="AB742" s="21">
        <f t="shared" si="1185"/>
        <v>1</v>
      </c>
      <c r="AC742" s="119">
        <f>ROUND(I742+mwreg!$G$81/100,3)</f>
        <v>-1.0680000000000001</v>
      </c>
      <c r="AD742" s="108">
        <f>ROUND(J742+mwreg!$G$81/100,3)</f>
        <v>1.54</v>
      </c>
      <c r="AE742" s="108">
        <f>ROUND(K742+mwreg!$G$81/100,3)</f>
        <v>0.11799999999999999</v>
      </c>
      <c r="AF742" s="102">
        <f t="shared" si="1183"/>
        <v>0.27110000000000001</v>
      </c>
      <c r="AG742" s="102" t="str">
        <f t="shared" si="1184"/>
        <v>NaN</v>
      </c>
      <c r="AH742" s="109" t="str">
        <f t="shared" si="1167"/>
        <v>NaN</v>
      </c>
      <c r="AI742" s="110">
        <f t="shared" si="1168"/>
        <v>180</v>
      </c>
      <c r="AJ742" s="110">
        <f t="shared" si="1169"/>
        <v>60</v>
      </c>
      <c r="AK742" s="108">
        <f t="shared" si="1170"/>
        <v>1E-3</v>
      </c>
      <c r="AL742" s="110">
        <f t="shared" si="1171"/>
        <v>3</v>
      </c>
      <c r="AM742" s="110">
        <f t="shared" si="1172"/>
        <v>1500</v>
      </c>
      <c r="AN742" s="108">
        <f t="shared" si="1173"/>
        <v>0.1</v>
      </c>
      <c r="AO742" s="186" t="str">
        <f t="shared" si="1174"/>
        <v>NaN</v>
      </c>
    </row>
    <row r="743" spans="1:41" x14ac:dyDescent="0.2">
      <c r="A743" s="3" t="s">
        <v>296</v>
      </c>
      <c r="B743" s="3" t="s">
        <v>296</v>
      </c>
      <c r="C743" s="52">
        <v>2108</v>
      </c>
      <c r="D743" s="105">
        <v>57.691699999999997</v>
      </c>
      <c r="E743" s="160">
        <v>11.908300000000001</v>
      </c>
      <c r="F743" s="20">
        <v>8195</v>
      </c>
      <c r="G743" s="18">
        <v>0</v>
      </c>
      <c r="H743" s="53">
        <v>2</v>
      </c>
      <c r="I743" s="167">
        <f t="shared" si="1186"/>
        <v>-0.87</v>
      </c>
      <c r="J743" s="104">
        <f t="shared" si="1186"/>
        <v>1.3580000000000001</v>
      </c>
      <c r="K743" s="104">
        <f t="shared" si="1186"/>
        <v>-2.5000000000000001E-2</v>
      </c>
      <c r="L743" s="105">
        <f t="shared" si="1187"/>
        <v>0.24110000000000001</v>
      </c>
      <c r="M743" s="105" t="s">
        <v>282</v>
      </c>
      <c r="N743" s="105" t="s">
        <v>282</v>
      </c>
      <c r="O743" s="20">
        <f t="shared" si="1188"/>
        <v>180</v>
      </c>
      <c r="P743" s="20">
        <f t="shared" si="1188"/>
        <v>60</v>
      </c>
      <c r="Q743" s="104">
        <f t="shared" si="1189"/>
        <v>1E-3</v>
      </c>
      <c r="R743" s="20">
        <f t="shared" si="1190"/>
        <v>3</v>
      </c>
      <c r="S743" s="20">
        <f t="shared" si="1190"/>
        <v>1500</v>
      </c>
      <c r="T743" s="104">
        <f t="shared" si="1191"/>
        <v>0.1</v>
      </c>
      <c r="U743" s="123" t="s">
        <v>282</v>
      </c>
      <c r="V743" s="21"/>
      <c r="W743" s="58">
        <f t="shared" si="1138"/>
        <v>2108</v>
      </c>
      <c r="X743" s="102">
        <f t="shared" si="1139"/>
        <v>57.691699999999997</v>
      </c>
      <c r="Y743" s="102">
        <f t="shared" si="1140"/>
        <v>11.908300000000001</v>
      </c>
      <c r="Z743" s="21">
        <f t="shared" si="1141"/>
        <v>8195</v>
      </c>
      <c r="AA743" s="44">
        <f t="shared" si="1142"/>
        <v>0</v>
      </c>
      <c r="AB743" s="21">
        <f t="shared" si="1185"/>
        <v>2</v>
      </c>
      <c r="AC743" s="119">
        <f>ROUND(I743+mwreg!$G$81/100,3)</f>
        <v>-0.82299999999999995</v>
      </c>
      <c r="AD743" s="108">
        <f>ROUND(J743+mwreg!$G$81/100,3)</f>
        <v>1.405</v>
      </c>
      <c r="AE743" s="108">
        <f>ROUND(K743+mwreg!$G$81/100,3)</f>
        <v>2.1999999999999999E-2</v>
      </c>
      <c r="AF743" s="102">
        <f t="shared" si="1183"/>
        <v>0.24110000000000001</v>
      </c>
      <c r="AG743" s="102" t="str">
        <f t="shared" si="1184"/>
        <v>NaN</v>
      </c>
      <c r="AH743" s="109" t="str">
        <f t="shared" si="1167"/>
        <v>NaN</v>
      </c>
      <c r="AI743" s="110">
        <f t="shared" si="1168"/>
        <v>180</v>
      </c>
      <c r="AJ743" s="110">
        <f t="shared" si="1169"/>
        <v>60</v>
      </c>
      <c r="AK743" s="108">
        <f t="shared" si="1170"/>
        <v>1E-3</v>
      </c>
      <c r="AL743" s="110">
        <f t="shared" si="1171"/>
        <v>3</v>
      </c>
      <c r="AM743" s="110">
        <f t="shared" si="1172"/>
        <v>1500</v>
      </c>
      <c r="AN743" s="108">
        <f t="shared" si="1173"/>
        <v>0.1</v>
      </c>
      <c r="AO743" s="186" t="str">
        <f t="shared" si="1174"/>
        <v>NaN</v>
      </c>
    </row>
    <row r="744" spans="1:41" x14ac:dyDescent="0.2">
      <c r="A744" s="3" t="s">
        <v>296</v>
      </c>
      <c r="B744" s="3" t="s">
        <v>296</v>
      </c>
      <c r="C744" s="52">
        <v>2108</v>
      </c>
      <c r="D744" s="105">
        <v>57.691699999999997</v>
      </c>
      <c r="E744" s="160">
        <v>11.908300000000001</v>
      </c>
      <c r="F744" s="20">
        <v>8195</v>
      </c>
      <c r="G744" s="18">
        <v>0</v>
      </c>
      <c r="H744" s="53">
        <v>3</v>
      </c>
      <c r="I744" s="167">
        <f t="shared" si="1186"/>
        <v>-0.82599999999999996</v>
      </c>
      <c r="J744" s="104">
        <f t="shared" si="1186"/>
        <v>1.2669999999999999</v>
      </c>
      <c r="K744" s="104">
        <f t="shared" si="1186"/>
        <v>-5.7000000000000002E-2</v>
      </c>
      <c r="L744" s="105">
        <f t="shared" si="1187"/>
        <v>0.22509999999999999</v>
      </c>
      <c r="M744" s="105" t="s">
        <v>282</v>
      </c>
      <c r="N744" s="105" t="s">
        <v>282</v>
      </c>
      <c r="O744" s="20">
        <f t="shared" si="1188"/>
        <v>180</v>
      </c>
      <c r="P744" s="20">
        <f t="shared" si="1188"/>
        <v>60</v>
      </c>
      <c r="Q744" s="104">
        <f t="shared" si="1189"/>
        <v>1E-3</v>
      </c>
      <c r="R744" s="20">
        <f t="shared" si="1190"/>
        <v>3</v>
      </c>
      <c r="S744" s="20">
        <f t="shared" si="1190"/>
        <v>1500</v>
      </c>
      <c r="T744" s="104">
        <f t="shared" si="1191"/>
        <v>0.1</v>
      </c>
      <c r="U744" s="123" t="s">
        <v>282</v>
      </c>
      <c r="V744" s="21"/>
      <c r="W744" s="58">
        <f t="shared" si="1138"/>
        <v>2108</v>
      </c>
      <c r="X744" s="102">
        <f t="shared" si="1139"/>
        <v>57.691699999999997</v>
      </c>
      <c r="Y744" s="102">
        <f t="shared" si="1140"/>
        <v>11.908300000000001</v>
      </c>
      <c r="Z744" s="21">
        <f t="shared" si="1141"/>
        <v>8195</v>
      </c>
      <c r="AA744" s="44">
        <f t="shared" si="1142"/>
        <v>0</v>
      </c>
      <c r="AB744" s="21">
        <f t="shared" si="1185"/>
        <v>3</v>
      </c>
      <c r="AC744" s="119">
        <f>ROUND(I744+mwreg!$G$81/100,3)</f>
        <v>-0.77900000000000003</v>
      </c>
      <c r="AD744" s="108">
        <f>ROUND(J744+mwreg!$G$81/100,3)</f>
        <v>1.3140000000000001</v>
      </c>
      <c r="AE744" s="108">
        <f>ROUND(K744+mwreg!$G$81/100,3)</f>
        <v>-0.01</v>
      </c>
      <c r="AF744" s="102">
        <f t="shared" si="1183"/>
        <v>0.22509999999999999</v>
      </c>
      <c r="AG744" s="102" t="str">
        <f t="shared" si="1184"/>
        <v>NaN</v>
      </c>
      <c r="AH744" s="109" t="str">
        <f t="shared" si="1167"/>
        <v>NaN</v>
      </c>
      <c r="AI744" s="110">
        <f t="shared" si="1168"/>
        <v>180</v>
      </c>
      <c r="AJ744" s="110">
        <f t="shared" si="1169"/>
        <v>60</v>
      </c>
      <c r="AK744" s="108">
        <f t="shared" si="1170"/>
        <v>1E-3</v>
      </c>
      <c r="AL744" s="110">
        <f t="shared" si="1171"/>
        <v>3</v>
      </c>
      <c r="AM744" s="110">
        <f t="shared" si="1172"/>
        <v>1500</v>
      </c>
      <c r="AN744" s="108">
        <f t="shared" si="1173"/>
        <v>0.1</v>
      </c>
      <c r="AO744" s="186" t="str">
        <f t="shared" si="1174"/>
        <v>NaN</v>
      </c>
    </row>
    <row r="745" spans="1:41" x14ac:dyDescent="0.2">
      <c r="A745" s="3" t="s">
        <v>296</v>
      </c>
      <c r="B745" s="3" t="s">
        <v>296</v>
      </c>
      <c r="C745" s="52">
        <v>2108</v>
      </c>
      <c r="D745" s="105">
        <v>57.691699999999997</v>
      </c>
      <c r="E745" s="160">
        <v>11.908300000000001</v>
      </c>
      <c r="F745" s="20">
        <v>8195</v>
      </c>
      <c r="G745" s="18">
        <v>0</v>
      </c>
      <c r="H745" s="53">
        <v>4</v>
      </c>
      <c r="I745" s="167">
        <f t="shared" si="1186"/>
        <v>-0.86699999999999999</v>
      </c>
      <c r="J745" s="104">
        <f t="shared" si="1186"/>
        <v>0.84899999999999998</v>
      </c>
      <c r="K745" s="104">
        <f t="shared" si="1186"/>
        <v>-8.5999999999999993E-2</v>
      </c>
      <c r="L745" s="105">
        <f t="shared" si="1187"/>
        <v>0.15640000000000001</v>
      </c>
      <c r="M745" s="105" t="s">
        <v>282</v>
      </c>
      <c r="N745" s="105" t="s">
        <v>282</v>
      </c>
      <c r="O745" s="20">
        <f t="shared" si="1188"/>
        <v>180</v>
      </c>
      <c r="P745" s="20">
        <f t="shared" si="1188"/>
        <v>60</v>
      </c>
      <c r="Q745" s="104">
        <f t="shared" si="1189"/>
        <v>1E-3</v>
      </c>
      <c r="R745" s="20">
        <f t="shared" si="1190"/>
        <v>3</v>
      </c>
      <c r="S745" s="20">
        <f t="shared" si="1190"/>
        <v>1500</v>
      </c>
      <c r="T745" s="104">
        <f t="shared" si="1191"/>
        <v>0.1</v>
      </c>
      <c r="U745" s="123" t="s">
        <v>282</v>
      </c>
      <c r="V745" s="21"/>
      <c r="W745" s="58">
        <f t="shared" si="1138"/>
        <v>2108</v>
      </c>
      <c r="X745" s="102">
        <f t="shared" si="1139"/>
        <v>57.691699999999997</v>
      </c>
      <c r="Y745" s="102">
        <f t="shared" si="1140"/>
        <v>11.908300000000001</v>
      </c>
      <c r="Z745" s="21">
        <f t="shared" si="1141"/>
        <v>8195</v>
      </c>
      <c r="AA745" s="44">
        <f t="shared" si="1142"/>
        <v>0</v>
      </c>
      <c r="AB745" s="21">
        <f t="shared" si="1185"/>
        <v>4</v>
      </c>
      <c r="AC745" s="119">
        <f>ROUND(I745+mwreg!$G$81/100,3)</f>
        <v>-0.82</v>
      </c>
      <c r="AD745" s="108">
        <f>ROUND(J745+mwreg!$G$81/100,3)</f>
        <v>0.89600000000000002</v>
      </c>
      <c r="AE745" s="108">
        <f>ROUND(K745+mwreg!$G$81/100,3)</f>
        <v>-3.9E-2</v>
      </c>
      <c r="AF745" s="102">
        <f t="shared" si="1183"/>
        <v>0.15640000000000001</v>
      </c>
      <c r="AG745" s="102" t="str">
        <f t="shared" si="1184"/>
        <v>NaN</v>
      </c>
      <c r="AH745" s="109" t="str">
        <f t="shared" si="1167"/>
        <v>NaN</v>
      </c>
      <c r="AI745" s="110">
        <f t="shared" si="1168"/>
        <v>180</v>
      </c>
      <c r="AJ745" s="110">
        <f t="shared" si="1169"/>
        <v>60</v>
      </c>
      <c r="AK745" s="108">
        <f t="shared" si="1170"/>
        <v>1E-3</v>
      </c>
      <c r="AL745" s="110">
        <f t="shared" si="1171"/>
        <v>3</v>
      </c>
      <c r="AM745" s="110">
        <f t="shared" si="1172"/>
        <v>1500</v>
      </c>
      <c r="AN745" s="108">
        <f t="shared" si="1173"/>
        <v>0.1</v>
      </c>
      <c r="AO745" s="186" t="str">
        <f t="shared" si="1174"/>
        <v>NaN</v>
      </c>
    </row>
    <row r="746" spans="1:41" x14ac:dyDescent="0.2">
      <c r="A746" s="3" t="s">
        <v>296</v>
      </c>
      <c r="B746" s="3" t="s">
        <v>296</v>
      </c>
      <c r="C746" s="52">
        <v>2108</v>
      </c>
      <c r="D746" s="105">
        <v>57.691699999999997</v>
      </c>
      <c r="E746" s="160">
        <v>11.908300000000001</v>
      </c>
      <c r="F746" s="20">
        <v>8195</v>
      </c>
      <c r="G746" s="18">
        <v>0</v>
      </c>
      <c r="H746" s="53">
        <v>5</v>
      </c>
      <c r="I746" s="167">
        <f t="shared" si="1186"/>
        <v>-0.59699999999999998</v>
      </c>
      <c r="J746" s="104">
        <f t="shared" si="1186"/>
        <v>0.66</v>
      </c>
      <c r="K746" s="104">
        <f t="shared" si="1186"/>
        <v>-6.2E-2</v>
      </c>
      <c r="L746" s="105">
        <f t="shared" si="1187"/>
        <v>0.14369999999999999</v>
      </c>
      <c r="M746" s="105" t="s">
        <v>282</v>
      </c>
      <c r="N746" s="105" t="s">
        <v>282</v>
      </c>
      <c r="O746" s="20">
        <f t="shared" si="1188"/>
        <v>180</v>
      </c>
      <c r="P746" s="20">
        <f t="shared" si="1188"/>
        <v>60</v>
      </c>
      <c r="Q746" s="104">
        <f t="shared" si="1189"/>
        <v>1E-3</v>
      </c>
      <c r="R746" s="20">
        <f t="shared" si="1190"/>
        <v>3</v>
      </c>
      <c r="S746" s="20">
        <f t="shared" si="1190"/>
        <v>1500</v>
      </c>
      <c r="T746" s="104">
        <f t="shared" si="1191"/>
        <v>0.1</v>
      </c>
      <c r="U746" s="123" t="s">
        <v>282</v>
      </c>
      <c r="V746" s="21"/>
      <c r="W746" s="58">
        <f t="shared" ref="W746:W845" si="1192">C746</f>
        <v>2108</v>
      </c>
      <c r="X746" s="102">
        <f t="shared" ref="X746:X845" si="1193">D746</f>
        <v>57.691699999999997</v>
      </c>
      <c r="Y746" s="102">
        <f t="shared" ref="Y746:Y845" si="1194">E746</f>
        <v>11.908300000000001</v>
      </c>
      <c r="Z746" s="21">
        <f t="shared" ref="Z746:Z845" si="1195">F746</f>
        <v>8195</v>
      </c>
      <c r="AA746" s="44">
        <f t="shared" ref="AA746:AA845" si="1196">G746</f>
        <v>0</v>
      </c>
      <c r="AB746" s="21">
        <f t="shared" si="1185"/>
        <v>5</v>
      </c>
      <c r="AC746" s="119">
        <f>ROUND(I746+mwreg!$G$81/100,3)</f>
        <v>-0.55000000000000004</v>
      </c>
      <c r="AD746" s="108">
        <f>ROUND(J746+mwreg!$G$81/100,3)</f>
        <v>0.70699999999999996</v>
      </c>
      <c r="AE746" s="108">
        <f>ROUND(K746+mwreg!$G$81/100,3)</f>
        <v>-1.4999999999999999E-2</v>
      </c>
      <c r="AF746" s="102">
        <f t="shared" si="1183"/>
        <v>0.14369999999999999</v>
      </c>
      <c r="AG746" s="102" t="str">
        <f t="shared" si="1184"/>
        <v>NaN</v>
      </c>
      <c r="AH746" s="109" t="str">
        <f t="shared" si="1167"/>
        <v>NaN</v>
      </c>
      <c r="AI746" s="110">
        <f t="shared" si="1168"/>
        <v>180</v>
      </c>
      <c r="AJ746" s="110">
        <f t="shared" si="1169"/>
        <v>60</v>
      </c>
      <c r="AK746" s="108">
        <f t="shared" si="1170"/>
        <v>1E-3</v>
      </c>
      <c r="AL746" s="110">
        <f t="shared" si="1171"/>
        <v>3</v>
      </c>
      <c r="AM746" s="110">
        <f t="shared" si="1172"/>
        <v>1500</v>
      </c>
      <c r="AN746" s="108">
        <f t="shared" si="1173"/>
        <v>0.1</v>
      </c>
      <c r="AO746" s="186" t="str">
        <f t="shared" si="1174"/>
        <v>NaN</v>
      </c>
    </row>
    <row r="747" spans="1:41" x14ac:dyDescent="0.2">
      <c r="A747" s="3" t="s">
        <v>296</v>
      </c>
      <c r="B747" s="3" t="s">
        <v>296</v>
      </c>
      <c r="C747" s="52">
        <v>2108</v>
      </c>
      <c r="D747" s="105">
        <v>57.691699999999997</v>
      </c>
      <c r="E747" s="160">
        <v>11.908300000000001</v>
      </c>
      <c r="F747" s="20">
        <v>8195</v>
      </c>
      <c r="G747" s="18">
        <v>0</v>
      </c>
      <c r="H747" s="53">
        <v>6</v>
      </c>
      <c r="I747" s="167">
        <f t="shared" si="1186"/>
        <v>-0.504</v>
      </c>
      <c r="J747" s="104">
        <f t="shared" si="1186"/>
        <v>0.91</v>
      </c>
      <c r="K747" s="104">
        <f t="shared" si="1186"/>
        <v>-5.0000000000000001E-3</v>
      </c>
      <c r="L747" s="105">
        <f t="shared" si="1187"/>
        <v>0.1376</v>
      </c>
      <c r="M747" s="105" t="s">
        <v>282</v>
      </c>
      <c r="N747" s="105" t="s">
        <v>282</v>
      </c>
      <c r="O747" s="20">
        <f t="shared" si="1188"/>
        <v>180</v>
      </c>
      <c r="P747" s="20">
        <f t="shared" si="1188"/>
        <v>60</v>
      </c>
      <c r="Q747" s="104">
        <f t="shared" si="1189"/>
        <v>1E-3</v>
      </c>
      <c r="R747" s="20">
        <f t="shared" si="1190"/>
        <v>3</v>
      </c>
      <c r="S747" s="20">
        <f t="shared" si="1190"/>
        <v>1500</v>
      </c>
      <c r="T747" s="104">
        <f t="shared" si="1191"/>
        <v>0.1</v>
      </c>
      <c r="U747" s="123" t="s">
        <v>282</v>
      </c>
      <c r="V747" s="21"/>
      <c r="W747" s="58">
        <f t="shared" si="1192"/>
        <v>2108</v>
      </c>
      <c r="X747" s="102">
        <f t="shared" si="1193"/>
        <v>57.691699999999997</v>
      </c>
      <c r="Y747" s="102">
        <f t="shared" si="1194"/>
        <v>11.908300000000001</v>
      </c>
      <c r="Z747" s="21">
        <f t="shared" si="1195"/>
        <v>8195</v>
      </c>
      <c r="AA747" s="44">
        <f t="shared" si="1196"/>
        <v>0</v>
      </c>
      <c r="AB747" s="21">
        <f t="shared" si="1185"/>
        <v>6</v>
      </c>
      <c r="AC747" s="119">
        <f>ROUND(I747+mwreg!$G$81/100,3)</f>
        <v>-0.45700000000000002</v>
      </c>
      <c r="AD747" s="108">
        <f>ROUND(J747+mwreg!$G$81/100,3)</f>
        <v>0.95699999999999996</v>
      </c>
      <c r="AE747" s="108">
        <f>ROUND(K747+mwreg!$G$81/100,3)</f>
        <v>4.2000000000000003E-2</v>
      </c>
      <c r="AF747" s="102">
        <f t="shared" si="1183"/>
        <v>0.1376</v>
      </c>
      <c r="AG747" s="102" t="str">
        <f t="shared" si="1184"/>
        <v>NaN</v>
      </c>
      <c r="AH747" s="109" t="str">
        <f t="shared" si="1167"/>
        <v>NaN</v>
      </c>
      <c r="AI747" s="110">
        <f t="shared" si="1168"/>
        <v>180</v>
      </c>
      <c r="AJ747" s="110">
        <f t="shared" si="1169"/>
        <v>60</v>
      </c>
      <c r="AK747" s="108">
        <f t="shared" si="1170"/>
        <v>1E-3</v>
      </c>
      <c r="AL747" s="110">
        <f t="shared" si="1171"/>
        <v>3</v>
      </c>
      <c r="AM747" s="110">
        <f t="shared" si="1172"/>
        <v>1500</v>
      </c>
      <c r="AN747" s="108">
        <f t="shared" si="1173"/>
        <v>0.1</v>
      </c>
      <c r="AO747" s="186" t="str">
        <f t="shared" si="1174"/>
        <v>NaN</v>
      </c>
    </row>
    <row r="748" spans="1:41" x14ac:dyDescent="0.2">
      <c r="A748" s="3" t="s">
        <v>296</v>
      </c>
      <c r="B748" s="3" t="s">
        <v>296</v>
      </c>
      <c r="C748" s="52">
        <v>2108</v>
      </c>
      <c r="D748" s="105">
        <v>57.691699999999997</v>
      </c>
      <c r="E748" s="160">
        <v>11.908300000000001</v>
      </c>
      <c r="F748" s="20">
        <v>8195</v>
      </c>
      <c r="G748" s="18">
        <v>0</v>
      </c>
      <c r="H748" s="53">
        <v>7</v>
      </c>
      <c r="I748" s="167">
        <f t="shared" si="1186"/>
        <v>-0.42199999999999999</v>
      </c>
      <c r="J748" s="104">
        <f t="shared" si="1186"/>
        <v>0.82799999999999996</v>
      </c>
      <c r="K748" s="104">
        <f t="shared" si="1186"/>
        <v>4.8000000000000001E-2</v>
      </c>
      <c r="L748" s="105">
        <f t="shared" si="1187"/>
        <v>0.1318</v>
      </c>
      <c r="M748" s="105" t="s">
        <v>282</v>
      </c>
      <c r="N748" s="105" t="s">
        <v>282</v>
      </c>
      <c r="O748" s="20">
        <f t="shared" si="1188"/>
        <v>180</v>
      </c>
      <c r="P748" s="20">
        <f t="shared" si="1188"/>
        <v>60</v>
      </c>
      <c r="Q748" s="104">
        <f t="shared" si="1189"/>
        <v>1E-3</v>
      </c>
      <c r="R748" s="20">
        <f t="shared" si="1190"/>
        <v>3</v>
      </c>
      <c r="S748" s="20">
        <f t="shared" si="1190"/>
        <v>1500</v>
      </c>
      <c r="T748" s="104">
        <f t="shared" si="1191"/>
        <v>0.1</v>
      </c>
      <c r="U748" s="123" t="s">
        <v>282</v>
      </c>
      <c r="V748" s="21"/>
      <c r="W748" s="58">
        <f t="shared" si="1192"/>
        <v>2108</v>
      </c>
      <c r="X748" s="102">
        <f t="shared" si="1193"/>
        <v>57.691699999999997</v>
      </c>
      <c r="Y748" s="102">
        <f t="shared" si="1194"/>
        <v>11.908300000000001</v>
      </c>
      <c r="Z748" s="21">
        <f t="shared" si="1195"/>
        <v>8195</v>
      </c>
      <c r="AA748" s="44">
        <f t="shared" si="1196"/>
        <v>0</v>
      </c>
      <c r="AB748" s="21">
        <f t="shared" si="1185"/>
        <v>7</v>
      </c>
      <c r="AC748" s="119">
        <f>ROUND(I748+mwreg!$G$81/100,3)</f>
        <v>-0.375</v>
      </c>
      <c r="AD748" s="108">
        <f>ROUND(J748+mwreg!$G$81/100,3)</f>
        <v>0.875</v>
      </c>
      <c r="AE748" s="108">
        <f>ROUND(K748+mwreg!$G$81/100,3)</f>
        <v>9.5000000000000001E-2</v>
      </c>
      <c r="AF748" s="102">
        <f t="shared" si="1183"/>
        <v>0.1318</v>
      </c>
      <c r="AG748" s="102" t="str">
        <f t="shared" si="1184"/>
        <v>NaN</v>
      </c>
      <c r="AH748" s="109" t="str">
        <f t="shared" si="1167"/>
        <v>NaN</v>
      </c>
      <c r="AI748" s="110">
        <f t="shared" si="1168"/>
        <v>180</v>
      </c>
      <c r="AJ748" s="110">
        <f t="shared" si="1169"/>
        <v>60</v>
      </c>
      <c r="AK748" s="108">
        <f t="shared" si="1170"/>
        <v>1E-3</v>
      </c>
      <c r="AL748" s="110">
        <f t="shared" si="1171"/>
        <v>3</v>
      </c>
      <c r="AM748" s="110">
        <f t="shared" si="1172"/>
        <v>1500</v>
      </c>
      <c r="AN748" s="108">
        <f t="shared" si="1173"/>
        <v>0.1</v>
      </c>
      <c r="AO748" s="186" t="str">
        <f t="shared" si="1174"/>
        <v>NaN</v>
      </c>
    </row>
    <row r="749" spans="1:41" x14ac:dyDescent="0.2">
      <c r="A749" s="3" t="s">
        <v>296</v>
      </c>
      <c r="B749" s="3" t="s">
        <v>296</v>
      </c>
      <c r="C749" s="52">
        <v>2108</v>
      </c>
      <c r="D749" s="105">
        <v>57.691699999999997</v>
      </c>
      <c r="E749" s="160">
        <v>11.908300000000001</v>
      </c>
      <c r="F749" s="20">
        <v>8195</v>
      </c>
      <c r="G749" s="18">
        <v>0</v>
      </c>
      <c r="H749" s="53">
        <v>8</v>
      </c>
      <c r="I749" s="167">
        <f t="shared" si="1186"/>
        <v>-0.40699999999999997</v>
      </c>
      <c r="J749" s="104">
        <f t="shared" si="1186"/>
        <v>0.89200000000000002</v>
      </c>
      <c r="K749" s="104">
        <f t="shared" si="1186"/>
        <v>7.1999999999999995E-2</v>
      </c>
      <c r="L749" s="105">
        <f t="shared" si="1187"/>
        <v>0.14080000000000001</v>
      </c>
      <c r="M749" s="105" t="s">
        <v>282</v>
      </c>
      <c r="N749" s="105" t="s">
        <v>282</v>
      </c>
      <c r="O749" s="20">
        <f t="shared" si="1188"/>
        <v>180</v>
      </c>
      <c r="P749" s="20">
        <f t="shared" si="1188"/>
        <v>60</v>
      </c>
      <c r="Q749" s="104">
        <f t="shared" si="1189"/>
        <v>1E-3</v>
      </c>
      <c r="R749" s="20">
        <f t="shared" si="1190"/>
        <v>3</v>
      </c>
      <c r="S749" s="20">
        <f t="shared" si="1190"/>
        <v>1500</v>
      </c>
      <c r="T749" s="104">
        <f t="shared" si="1191"/>
        <v>0.1</v>
      </c>
      <c r="U749" s="123" t="s">
        <v>282</v>
      </c>
      <c r="V749" s="21"/>
      <c r="W749" s="58">
        <f t="shared" si="1192"/>
        <v>2108</v>
      </c>
      <c r="X749" s="102">
        <f t="shared" si="1193"/>
        <v>57.691699999999997</v>
      </c>
      <c r="Y749" s="102">
        <f t="shared" si="1194"/>
        <v>11.908300000000001</v>
      </c>
      <c r="Z749" s="21">
        <f t="shared" si="1195"/>
        <v>8195</v>
      </c>
      <c r="AA749" s="44">
        <f t="shared" si="1196"/>
        <v>0</v>
      </c>
      <c r="AB749" s="21">
        <f t="shared" si="1185"/>
        <v>8</v>
      </c>
      <c r="AC749" s="119">
        <f>ROUND(I749+mwreg!$G$81/100,3)</f>
        <v>-0.36</v>
      </c>
      <c r="AD749" s="108">
        <f>ROUND(J749+mwreg!$G$81/100,3)</f>
        <v>0.93899999999999995</v>
      </c>
      <c r="AE749" s="108">
        <f>ROUND(K749+mwreg!$G$81/100,3)</f>
        <v>0.11899999999999999</v>
      </c>
      <c r="AF749" s="102">
        <f t="shared" si="1183"/>
        <v>0.14080000000000001</v>
      </c>
      <c r="AG749" s="102" t="str">
        <f t="shared" si="1184"/>
        <v>NaN</v>
      </c>
      <c r="AH749" s="109" t="str">
        <f t="shared" si="1167"/>
        <v>NaN</v>
      </c>
      <c r="AI749" s="110">
        <f t="shared" si="1168"/>
        <v>180</v>
      </c>
      <c r="AJ749" s="110">
        <f t="shared" si="1169"/>
        <v>60</v>
      </c>
      <c r="AK749" s="108">
        <f t="shared" si="1170"/>
        <v>1E-3</v>
      </c>
      <c r="AL749" s="110">
        <f t="shared" si="1171"/>
        <v>3</v>
      </c>
      <c r="AM749" s="110">
        <f t="shared" si="1172"/>
        <v>1500</v>
      </c>
      <c r="AN749" s="108">
        <f t="shared" si="1173"/>
        <v>0.1</v>
      </c>
      <c r="AO749" s="186" t="str">
        <f t="shared" si="1174"/>
        <v>NaN</v>
      </c>
    </row>
    <row r="750" spans="1:41" x14ac:dyDescent="0.2">
      <c r="A750" s="3" t="s">
        <v>296</v>
      </c>
      <c r="B750" s="3" t="s">
        <v>296</v>
      </c>
      <c r="C750" s="52">
        <v>2108</v>
      </c>
      <c r="D750" s="105">
        <v>57.691699999999997</v>
      </c>
      <c r="E750" s="160">
        <v>11.908300000000001</v>
      </c>
      <c r="F750" s="20">
        <v>8195</v>
      </c>
      <c r="G750" s="18">
        <v>0</v>
      </c>
      <c r="H750" s="53">
        <v>9</v>
      </c>
      <c r="I750" s="167">
        <f t="shared" si="1186"/>
        <v>-0.55800000000000005</v>
      </c>
      <c r="J750" s="104">
        <f t="shared" si="1186"/>
        <v>1.1639999999999999</v>
      </c>
      <c r="K750" s="104">
        <f t="shared" si="1186"/>
        <v>9.2999999999999999E-2</v>
      </c>
      <c r="L750" s="105">
        <f t="shared" si="1187"/>
        <v>0.18740000000000001</v>
      </c>
      <c r="M750" s="105" t="s">
        <v>282</v>
      </c>
      <c r="N750" s="105" t="s">
        <v>282</v>
      </c>
      <c r="O750" s="20">
        <f t="shared" si="1188"/>
        <v>180</v>
      </c>
      <c r="P750" s="20">
        <f t="shared" si="1188"/>
        <v>60</v>
      </c>
      <c r="Q750" s="104">
        <f t="shared" si="1189"/>
        <v>1E-3</v>
      </c>
      <c r="R750" s="20">
        <f t="shared" si="1190"/>
        <v>3</v>
      </c>
      <c r="S750" s="20">
        <f t="shared" si="1190"/>
        <v>1500</v>
      </c>
      <c r="T750" s="104">
        <f t="shared" si="1191"/>
        <v>0.1</v>
      </c>
      <c r="U750" s="123" t="s">
        <v>282</v>
      </c>
      <c r="V750" s="21"/>
      <c r="W750" s="58">
        <f t="shared" si="1192"/>
        <v>2108</v>
      </c>
      <c r="X750" s="102">
        <f t="shared" si="1193"/>
        <v>57.691699999999997</v>
      </c>
      <c r="Y750" s="102">
        <f t="shared" si="1194"/>
        <v>11.908300000000001</v>
      </c>
      <c r="Z750" s="21">
        <f t="shared" si="1195"/>
        <v>8195</v>
      </c>
      <c r="AA750" s="44">
        <f t="shared" si="1196"/>
        <v>0</v>
      </c>
      <c r="AB750" s="21">
        <f t="shared" si="1185"/>
        <v>9</v>
      </c>
      <c r="AC750" s="119">
        <f>ROUND(I750+mwreg!$G$81/100,3)</f>
        <v>-0.51100000000000001</v>
      </c>
      <c r="AD750" s="108">
        <f>ROUND(J750+mwreg!$G$81/100,3)</f>
        <v>1.2110000000000001</v>
      </c>
      <c r="AE750" s="108">
        <f>ROUND(K750+mwreg!$G$81/100,3)</f>
        <v>0.14000000000000001</v>
      </c>
      <c r="AF750" s="102">
        <f t="shared" si="1183"/>
        <v>0.18740000000000001</v>
      </c>
      <c r="AG750" s="102" t="str">
        <f t="shared" si="1184"/>
        <v>NaN</v>
      </c>
      <c r="AH750" s="109" t="str">
        <f t="shared" si="1167"/>
        <v>NaN</v>
      </c>
      <c r="AI750" s="110">
        <f t="shared" si="1168"/>
        <v>180</v>
      </c>
      <c r="AJ750" s="110">
        <f t="shared" si="1169"/>
        <v>60</v>
      </c>
      <c r="AK750" s="108">
        <f t="shared" si="1170"/>
        <v>1E-3</v>
      </c>
      <c r="AL750" s="110">
        <f t="shared" si="1171"/>
        <v>3</v>
      </c>
      <c r="AM750" s="110">
        <f t="shared" si="1172"/>
        <v>1500</v>
      </c>
      <c r="AN750" s="108">
        <f t="shared" si="1173"/>
        <v>0.1</v>
      </c>
      <c r="AO750" s="186" t="str">
        <f t="shared" si="1174"/>
        <v>NaN</v>
      </c>
    </row>
    <row r="751" spans="1:41" x14ac:dyDescent="0.2">
      <c r="A751" s="3" t="s">
        <v>296</v>
      </c>
      <c r="B751" s="3" t="s">
        <v>296</v>
      </c>
      <c r="C751" s="52">
        <v>2108</v>
      </c>
      <c r="D751" s="105">
        <v>57.691699999999997</v>
      </c>
      <c r="E751" s="160">
        <v>11.908300000000001</v>
      </c>
      <c r="F751" s="20">
        <v>8195</v>
      </c>
      <c r="G751" s="18">
        <v>0</v>
      </c>
      <c r="H751" s="53">
        <v>10</v>
      </c>
      <c r="I751" s="167">
        <f t="shared" si="1186"/>
        <v>-0.64200000000000002</v>
      </c>
      <c r="J751" s="104">
        <f t="shared" si="1186"/>
        <v>1.214</v>
      </c>
      <c r="K751" s="104">
        <f t="shared" si="1186"/>
        <v>8.6999999999999994E-2</v>
      </c>
      <c r="L751" s="105">
        <f t="shared" si="1187"/>
        <v>0.21390000000000001</v>
      </c>
      <c r="M751" s="105" t="s">
        <v>282</v>
      </c>
      <c r="N751" s="105" t="s">
        <v>282</v>
      </c>
      <c r="O751" s="20">
        <f t="shared" si="1188"/>
        <v>180</v>
      </c>
      <c r="P751" s="20">
        <f t="shared" si="1188"/>
        <v>60</v>
      </c>
      <c r="Q751" s="104">
        <f t="shared" si="1189"/>
        <v>1E-3</v>
      </c>
      <c r="R751" s="20">
        <f t="shared" si="1190"/>
        <v>3</v>
      </c>
      <c r="S751" s="20">
        <f t="shared" si="1190"/>
        <v>1500</v>
      </c>
      <c r="T751" s="104">
        <f t="shared" si="1191"/>
        <v>0.1</v>
      </c>
      <c r="U751" s="123" t="s">
        <v>282</v>
      </c>
      <c r="V751" s="21"/>
      <c r="W751" s="58">
        <f t="shared" si="1192"/>
        <v>2108</v>
      </c>
      <c r="X751" s="102">
        <f t="shared" si="1193"/>
        <v>57.691699999999997</v>
      </c>
      <c r="Y751" s="102">
        <f t="shared" si="1194"/>
        <v>11.908300000000001</v>
      </c>
      <c r="Z751" s="21">
        <f t="shared" si="1195"/>
        <v>8195</v>
      </c>
      <c r="AA751" s="44">
        <f t="shared" si="1196"/>
        <v>0</v>
      </c>
      <c r="AB751" s="21">
        <f t="shared" si="1185"/>
        <v>10</v>
      </c>
      <c r="AC751" s="119">
        <f>ROUND(I751+mwreg!$G$81/100,3)</f>
        <v>-0.59499999999999997</v>
      </c>
      <c r="AD751" s="108">
        <f>ROUND(J751+mwreg!$G$81/100,3)</f>
        <v>1.2609999999999999</v>
      </c>
      <c r="AE751" s="108">
        <f>ROUND(K751+mwreg!$G$81/100,3)</f>
        <v>0.13400000000000001</v>
      </c>
      <c r="AF751" s="102">
        <f t="shared" si="1183"/>
        <v>0.21390000000000001</v>
      </c>
      <c r="AG751" s="102" t="str">
        <f t="shared" si="1184"/>
        <v>NaN</v>
      </c>
      <c r="AH751" s="109" t="str">
        <f t="shared" si="1167"/>
        <v>NaN</v>
      </c>
      <c r="AI751" s="110">
        <f t="shared" si="1168"/>
        <v>180</v>
      </c>
      <c r="AJ751" s="110">
        <f t="shared" si="1169"/>
        <v>60</v>
      </c>
      <c r="AK751" s="108">
        <f t="shared" si="1170"/>
        <v>1E-3</v>
      </c>
      <c r="AL751" s="110">
        <f t="shared" si="1171"/>
        <v>3</v>
      </c>
      <c r="AM751" s="110">
        <f t="shared" si="1172"/>
        <v>1500</v>
      </c>
      <c r="AN751" s="108">
        <f t="shared" si="1173"/>
        <v>0.1</v>
      </c>
      <c r="AO751" s="186" t="str">
        <f t="shared" si="1174"/>
        <v>NaN</v>
      </c>
    </row>
    <row r="752" spans="1:41" x14ac:dyDescent="0.2">
      <c r="A752" s="3" t="s">
        <v>296</v>
      </c>
      <c r="B752" s="3" t="s">
        <v>296</v>
      </c>
      <c r="C752" s="52">
        <v>2108</v>
      </c>
      <c r="D752" s="105">
        <v>57.691699999999997</v>
      </c>
      <c r="E752" s="160">
        <v>11.908300000000001</v>
      </c>
      <c r="F752" s="20">
        <v>8195</v>
      </c>
      <c r="G752" s="18">
        <v>0</v>
      </c>
      <c r="H752" s="53">
        <v>11</v>
      </c>
      <c r="I752" s="167">
        <f t="shared" si="1186"/>
        <v>-0.78</v>
      </c>
      <c r="J752" s="104">
        <f t="shared" si="1186"/>
        <v>1.5</v>
      </c>
      <c r="K752" s="104">
        <f t="shared" si="1186"/>
        <v>0.112</v>
      </c>
      <c r="L752" s="105">
        <f t="shared" si="1187"/>
        <v>0.2281</v>
      </c>
      <c r="M752" s="105" t="s">
        <v>282</v>
      </c>
      <c r="N752" s="105" t="s">
        <v>282</v>
      </c>
      <c r="O752" s="20">
        <f t="shared" si="1188"/>
        <v>180</v>
      </c>
      <c r="P752" s="20">
        <f t="shared" si="1188"/>
        <v>60</v>
      </c>
      <c r="Q752" s="104">
        <f t="shared" si="1189"/>
        <v>1E-3</v>
      </c>
      <c r="R752" s="20">
        <f t="shared" si="1190"/>
        <v>3</v>
      </c>
      <c r="S752" s="20">
        <f t="shared" si="1190"/>
        <v>1500</v>
      </c>
      <c r="T752" s="104">
        <f t="shared" si="1191"/>
        <v>0.1</v>
      </c>
      <c r="U752" s="123" t="s">
        <v>282</v>
      </c>
      <c r="V752" s="21"/>
      <c r="W752" s="58">
        <f t="shared" si="1192"/>
        <v>2108</v>
      </c>
      <c r="X752" s="102">
        <f t="shared" si="1193"/>
        <v>57.691699999999997</v>
      </c>
      <c r="Y752" s="102">
        <f t="shared" si="1194"/>
        <v>11.908300000000001</v>
      </c>
      <c r="Z752" s="21">
        <f t="shared" si="1195"/>
        <v>8195</v>
      </c>
      <c r="AA752" s="44">
        <f t="shared" si="1196"/>
        <v>0</v>
      </c>
      <c r="AB752" s="21">
        <f t="shared" si="1185"/>
        <v>11</v>
      </c>
      <c r="AC752" s="119">
        <f>ROUND(I752+mwreg!$G$81/100,3)</f>
        <v>-0.73299999999999998</v>
      </c>
      <c r="AD752" s="108">
        <f>ROUND(J752+mwreg!$G$81/100,3)</f>
        <v>1.5469999999999999</v>
      </c>
      <c r="AE752" s="108">
        <f>ROUND(K752+mwreg!$G$81/100,3)</f>
        <v>0.159</v>
      </c>
      <c r="AF752" s="102">
        <f t="shared" si="1183"/>
        <v>0.2281</v>
      </c>
      <c r="AG752" s="102" t="str">
        <f t="shared" si="1184"/>
        <v>NaN</v>
      </c>
      <c r="AH752" s="109" t="str">
        <f t="shared" si="1167"/>
        <v>NaN</v>
      </c>
      <c r="AI752" s="110">
        <f t="shared" si="1168"/>
        <v>180</v>
      </c>
      <c r="AJ752" s="110">
        <f t="shared" si="1169"/>
        <v>60</v>
      </c>
      <c r="AK752" s="108">
        <f t="shared" si="1170"/>
        <v>1E-3</v>
      </c>
      <c r="AL752" s="110">
        <f t="shared" si="1171"/>
        <v>3</v>
      </c>
      <c r="AM752" s="110">
        <f t="shared" si="1172"/>
        <v>1500</v>
      </c>
      <c r="AN752" s="108">
        <f t="shared" si="1173"/>
        <v>0.1</v>
      </c>
      <c r="AO752" s="186" t="str">
        <f t="shared" si="1174"/>
        <v>NaN</v>
      </c>
    </row>
    <row r="753" spans="1:41" x14ac:dyDescent="0.2">
      <c r="A753" s="3" t="s">
        <v>296</v>
      </c>
      <c r="B753" s="3" t="s">
        <v>296</v>
      </c>
      <c r="C753" s="52">
        <v>2108</v>
      </c>
      <c r="D753" s="105">
        <v>57.691699999999997</v>
      </c>
      <c r="E753" s="160">
        <v>11.908300000000001</v>
      </c>
      <c r="F753" s="20">
        <v>8195</v>
      </c>
      <c r="G753" s="18">
        <v>0</v>
      </c>
      <c r="H753" s="53">
        <v>12</v>
      </c>
      <c r="I753" s="167">
        <f t="shared" si="1186"/>
        <v>-0.879</v>
      </c>
      <c r="J753" s="104">
        <f t="shared" si="1186"/>
        <v>1.56</v>
      </c>
      <c r="K753" s="104">
        <f t="shared" si="1186"/>
        <v>0.09</v>
      </c>
      <c r="L753" s="105">
        <f t="shared" si="1187"/>
        <v>0.26740000000000003</v>
      </c>
      <c r="M753" s="105" t="s">
        <v>282</v>
      </c>
      <c r="N753" s="105" t="s">
        <v>282</v>
      </c>
      <c r="O753" s="20">
        <f t="shared" si="1188"/>
        <v>180</v>
      </c>
      <c r="P753" s="20">
        <f t="shared" si="1188"/>
        <v>60</v>
      </c>
      <c r="Q753" s="104">
        <f t="shared" si="1189"/>
        <v>1E-3</v>
      </c>
      <c r="R753" s="20">
        <f t="shared" si="1190"/>
        <v>3</v>
      </c>
      <c r="S753" s="20">
        <f t="shared" si="1190"/>
        <v>1500</v>
      </c>
      <c r="T753" s="104">
        <f t="shared" si="1191"/>
        <v>0.1</v>
      </c>
      <c r="U753" s="123" t="s">
        <v>282</v>
      </c>
      <c r="V753" s="21"/>
      <c r="W753" s="58">
        <f t="shared" si="1192"/>
        <v>2108</v>
      </c>
      <c r="X753" s="102">
        <f t="shared" si="1193"/>
        <v>57.691699999999997</v>
      </c>
      <c r="Y753" s="102">
        <f t="shared" si="1194"/>
        <v>11.908300000000001</v>
      </c>
      <c r="Z753" s="21">
        <f t="shared" si="1195"/>
        <v>8195</v>
      </c>
      <c r="AA753" s="44">
        <f t="shared" si="1196"/>
        <v>0</v>
      </c>
      <c r="AB753" s="21">
        <f t="shared" si="1185"/>
        <v>12</v>
      </c>
      <c r="AC753" s="119">
        <f>ROUND(I753+mwreg!$G$81/100,3)</f>
        <v>-0.83199999999999996</v>
      </c>
      <c r="AD753" s="108">
        <f>ROUND(J753+mwreg!$G$81/100,3)</f>
        <v>1.607</v>
      </c>
      <c r="AE753" s="108">
        <f>ROUND(K753+mwreg!$G$81/100,3)</f>
        <v>0.13700000000000001</v>
      </c>
      <c r="AF753" s="102">
        <f t="shared" si="1183"/>
        <v>0.26740000000000003</v>
      </c>
      <c r="AG753" s="102" t="str">
        <f t="shared" si="1184"/>
        <v>NaN</v>
      </c>
      <c r="AH753" s="109" t="str">
        <f t="shared" si="1167"/>
        <v>NaN</v>
      </c>
      <c r="AI753" s="110">
        <f t="shared" si="1168"/>
        <v>180</v>
      </c>
      <c r="AJ753" s="110">
        <f t="shared" si="1169"/>
        <v>60</v>
      </c>
      <c r="AK753" s="108">
        <f t="shared" si="1170"/>
        <v>1E-3</v>
      </c>
      <c r="AL753" s="110">
        <f t="shared" si="1171"/>
        <v>3</v>
      </c>
      <c r="AM753" s="110">
        <f t="shared" si="1172"/>
        <v>1500</v>
      </c>
      <c r="AN753" s="108">
        <f t="shared" si="1173"/>
        <v>0.1</v>
      </c>
      <c r="AO753" s="186" t="str">
        <f t="shared" si="1174"/>
        <v>NaN</v>
      </c>
    </row>
    <row r="754" spans="1:41" x14ac:dyDescent="0.2">
      <c r="A754" s="3">
        <f>stat_uppg!A72</f>
        <v>33096</v>
      </c>
      <c r="B754" s="3" t="str">
        <f>stat_uppg!B72</f>
        <v>GÖTEBORG-ERIKSBERG (GBG)</v>
      </c>
      <c r="C754" s="52">
        <v>33096</v>
      </c>
      <c r="D754" s="105">
        <v>57.6967</v>
      </c>
      <c r="E754" s="160">
        <v>11.908899999999999</v>
      </c>
      <c r="F754" s="20">
        <v>8195</v>
      </c>
      <c r="G754" s="18">
        <v>0</v>
      </c>
      <c r="H754" s="53">
        <v>1</v>
      </c>
      <c r="I754" s="167">
        <f t="shared" ref="I754:L765" si="1197">ROUND(0.5*I718+0.5*I766,3)</f>
        <v>-1.115</v>
      </c>
      <c r="J754" s="104">
        <f t="shared" si="1197"/>
        <v>1.4930000000000001</v>
      </c>
      <c r="K754" s="104">
        <f t="shared" si="1197"/>
        <v>7.0999999999999994E-2</v>
      </c>
      <c r="L754" s="105">
        <f t="shared" si="1197"/>
        <v>0.27100000000000002</v>
      </c>
      <c r="M754" s="105" t="s">
        <v>282</v>
      </c>
      <c r="N754" s="105" t="s">
        <v>282</v>
      </c>
      <c r="O754" s="20">
        <f t="shared" ref="O754:P765" si="1198">ROUND(0.5*O718+0.5*O766,0)</f>
        <v>180</v>
      </c>
      <c r="P754" s="20">
        <f t="shared" si="1198"/>
        <v>60</v>
      </c>
      <c r="Q754" s="104">
        <f t="shared" ref="Q754:Q765" si="1199">ROUND(0.5*Q718+0.5*Q766,3)</f>
        <v>1E-3</v>
      </c>
      <c r="R754" s="20">
        <f t="shared" ref="R754:S765" si="1200">ROUND(0.5*R718+0.5*R766,0)</f>
        <v>3</v>
      </c>
      <c r="S754" s="20">
        <f t="shared" si="1200"/>
        <v>1500</v>
      </c>
      <c r="T754" s="104">
        <f t="shared" ref="T754:T765" si="1201">ROUND(0.5*T718+0.5*T766,3)</f>
        <v>0.1</v>
      </c>
      <c r="U754" s="123" t="s">
        <v>282</v>
      </c>
      <c r="V754" s="21"/>
      <c r="W754" s="58">
        <f t="shared" ref="W754:W765" si="1202">C754</f>
        <v>33096</v>
      </c>
      <c r="X754" s="102">
        <f t="shared" ref="X754:X765" si="1203">D754</f>
        <v>57.6967</v>
      </c>
      <c r="Y754" s="102">
        <f t="shared" ref="Y754:Y765" si="1204">E754</f>
        <v>11.908899999999999</v>
      </c>
      <c r="Z754" s="21">
        <f t="shared" ref="Z754:Z765" si="1205">F754</f>
        <v>8195</v>
      </c>
      <c r="AA754" s="44">
        <f t="shared" ref="AA754:AA765" si="1206">G754</f>
        <v>0</v>
      </c>
      <c r="AB754" s="21">
        <f t="shared" ref="AB754:AB765" si="1207">H754</f>
        <v>1</v>
      </c>
      <c r="AC754" s="119">
        <f>ROUND(I754+mwreg!$G$82/100,3)</f>
        <v>-1.0660000000000001</v>
      </c>
      <c r="AD754" s="108">
        <f>ROUND(J754+mwreg!$G$82/100,3)</f>
        <v>1.542</v>
      </c>
      <c r="AE754" s="108">
        <f>ROUND(K754+mwreg!$G$82/100,3)</f>
        <v>0.12</v>
      </c>
      <c r="AF754" s="102">
        <f t="shared" si="1183"/>
        <v>0.27100000000000002</v>
      </c>
      <c r="AG754" s="102" t="str">
        <f t="shared" si="1184"/>
        <v>NaN</v>
      </c>
      <c r="AH754" s="109" t="str">
        <f t="shared" ref="AH754:AH765" si="1208">N754</f>
        <v>NaN</v>
      </c>
      <c r="AI754" s="110">
        <f t="shared" ref="AI754:AI765" si="1209">O754</f>
        <v>180</v>
      </c>
      <c r="AJ754" s="110">
        <f t="shared" ref="AJ754:AJ765" si="1210">P754</f>
        <v>60</v>
      </c>
      <c r="AK754" s="108">
        <f t="shared" ref="AK754:AK765" si="1211">Q754</f>
        <v>1E-3</v>
      </c>
      <c r="AL754" s="110">
        <f t="shared" ref="AL754:AL765" si="1212">R754</f>
        <v>3</v>
      </c>
      <c r="AM754" s="110">
        <f t="shared" ref="AM754:AM765" si="1213">S754</f>
        <v>1500</v>
      </c>
      <c r="AN754" s="108">
        <f t="shared" ref="AN754:AN765" si="1214">T754</f>
        <v>0.1</v>
      </c>
      <c r="AO754" s="186" t="str">
        <f t="shared" ref="AO754:AO765" si="1215">U754</f>
        <v>NaN</v>
      </c>
    </row>
    <row r="755" spans="1:41" x14ac:dyDescent="0.2">
      <c r="A755" s="3" t="s">
        <v>296</v>
      </c>
      <c r="B755" s="3" t="s">
        <v>296</v>
      </c>
      <c r="C755" s="52">
        <v>33096</v>
      </c>
      <c r="D755" s="105">
        <v>57.6967</v>
      </c>
      <c r="E755" s="160">
        <v>11.908899999999999</v>
      </c>
      <c r="F755" s="20">
        <v>8195</v>
      </c>
      <c r="G755" s="18">
        <v>0</v>
      </c>
      <c r="H755" s="53">
        <v>2</v>
      </c>
      <c r="I755" s="167">
        <f t="shared" si="1197"/>
        <v>-0.878</v>
      </c>
      <c r="J755" s="104">
        <f t="shared" si="1197"/>
        <v>1.3580000000000001</v>
      </c>
      <c r="K755" s="104">
        <f t="shared" si="1197"/>
        <v>-2.5999999999999999E-2</v>
      </c>
      <c r="L755" s="105">
        <f t="shared" si="1197"/>
        <v>0.24099999999999999</v>
      </c>
      <c r="M755" s="105" t="s">
        <v>282</v>
      </c>
      <c r="N755" s="105" t="s">
        <v>282</v>
      </c>
      <c r="O755" s="20">
        <f t="shared" si="1198"/>
        <v>180</v>
      </c>
      <c r="P755" s="20">
        <f t="shared" si="1198"/>
        <v>60</v>
      </c>
      <c r="Q755" s="104">
        <f t="shared" si="1199"/>
        <v>1E-3</v>
      </c>
      <c r="R755" s="20">
        <f t="shared" si="1200"/>
        <v>3</v>
      </c>
      <c r="S755" s="20">
        <f t="shared" si="1200"/>
        <v>1500</v>
      </c>
      <c r="T755" s="104">
        <f t="shared" si="1201"/>
        <v>0.1</v>
      </c>
      <c r="U755" s="123" t="s">
        <v>282</v>
      </c>
      <c r="V755" s="21"/>
      <c r="W755" s="58">
        <f t="shared" si="1202"/>
        <v>33096</v>
      </c>
      <c r="X755" s="102">
        <f t="shared" si="1203"/>
        <v>57.6967</v>
      </c>
      <c r="Y755" s="102">
        <f t="shared" si="1204"/>
        <v>11.908899999999999</v>
      </c>
      <c r="Z755" s="21">
        <f t="shared" si="1205"/>
        <v>8195</v>
      </c>
      <c r="AA755" s="44">
        <f t="shared" si="1206"/>
        <v>0</v>
      </c>
      <c r="AB755" s="21">
        <f t="shared" si="1207"/>
        <v>2</v>
      </c>
      <c r="AC755" s="119">
        <f>ROUND(I755+mwreg!$G$82/100,3)</f>
        <v>-0.82899999999999996</v>
      </c>
      <c r="AD755" s="108">
        <f>ROUND(J755+mwreg!$G$82/100,3)</f>
        <v>1.407</v>
      </c>
      <c r="AE755" s="108">
        <f>ROUND(K755+mwreg!$G$82/100,3)</f>
        <v>2.3E-2</v>
      </c>
      <c r="AF755" s="102">
        <f t="shared" si="1183"/>
        <v>0.24099999999999999</v>
      </c>
      <c r="AG755" s="102" t="str">
        <f t="shared" si="1184"/>
        <v>NaN</v>
      </c>
      <c r="AH755" s="109" t="str">
        <f t="shared" si="1208"/>
        <v>NaN</v>
      </c>
      <c r="AI755" s="110">
        <f t="shared" si="1209"/>
        <v>180</v>
      </c>
      <c r="AJ755" s="110">
        <f t="shared" si="1210"/>
        <v>60</v>
      </c>
      <c r="AK755" s="108">
        <f t="shared" si="1211"/>
        <v>1E-3</v>
      </c>
      <c r="AL755" s="110">
        <f t="shared" si="1212"/>
        <v>3</v>
      </c>
      <c r="AM755" s="110">
        <f t="shared" si="1213"/>
        <v>1500</v>
      </c>
      <c r="AN755" s="108">
        <f t="shared" si="1214"/>
        <v>0.1</v>
      </c>
      <c r="AO755" s="186" t="str">
        <f t="shared" si="1215"/>
        <v>NaN</v>
      </c>
    </row>
    <row r="756" spans="1:41" x14ac:dyDescent="0.2">
      <c r="A756" s="3" t="s">
        <v>296</v>
      </c>
      <c r="B756" s="3" t="s">
        <v>296</v>
      </c>
      <c r="C756" s="52">
        <v>33096</v>
      </c>
      <c r="D756" s="105">
        <v>57.6967</v>
      </c>
      <c r="E756" s="160">
        <v>11.908899999999999</v>
      </c>
      <c r="F756" s="20">
        <v>8195</v>
      </c>
      <c r="G756" s="18">
        <v>0</v>
      </c>
      <c r="H756" s="53">
        <v>3</v>
      </c>
      <c r="I756" s="167">
        <f t="shared" si="1197"/>
        <v>-0.82899999999999996</v>
      </c>
      <c r="J756" s="104">
        <f t="shared" si="1197"/>
        <v>1.2669999999999999</v>
      </c>
      <c r="K756" s="104">
        <f t="shared" si="1197"/>
        <v>-5.8000000000000003E-2</v>
      </c>
      <c r="L756" s="105">
        <f t="shared" si="1197"/>
        <v>0.22500000000000001</v>
      </c>
      <c r="M756" s="105" t="s">
        <v>282</v>
      </c>
      <c r="N756" s="105" t="s">
        <v>282</v>
      </c>
      <c r="O756" s="20">
        <f t="shared" si="1198"/>
        <v>180</v>
      </c>
      <c r="P756" s="20">
        <f t="shared" si="1198"/>
        <v>60</v>
      </c>
      <c r="Q756" s="104">
        <f t="shared" si="1199"/>
        <v>1E-3</v>
      </c>
      <c r="R756" s="20">
        <f t="shared" si="1200"/>
        <v>3</v>
      </c>
      <c r="S756" s="20">
        <f t="shared" si="1200"/>
        <v>1500</v>
      </c>
      <c r="T756" s="104">
        <f t="shared" si="1201"/>
        <v>0.1</v>
      </c>
      <c r="U756" s="123" t="s">
        <v>282</v>
      </c>
      <c r="V756" s="21"/>
      <c r="W756" s="58">
        <f t="shared" si="1202"/>
        <v>33096</v>
      </c>
      <c r="X756" s="102">
        <f t="shared" si="1203"/>
        <v>57.6967</v>
      </c>
      <c r="Y756" s="102">
        <f t="shared" si="1204"/>
        <v>11.908899999999999</v>
      </c>
      <c r="Z756" s="21">
        <f t="shared" si="1205"/>
        <v>8195</v>
      </c>
      <c r="AA756" s="44">
        <f t="shared" si="1206"/>
        <v>0</v>
      </c>
      <c r="AB756" s="21">
        <f t="shared" si="1207"/>
        <v>3</v>
      </c>
      <c r="AC756" s="119">
        <f>ROUND(I756+mwreg!$G$82/100,3)</f>
        <v>-0.78</v>
      </c>
      <c r="AD756" s="108">
        <f>ROUND(J756+mwreg!$G$82/100,3)</f>
        <v>1.3160000000000001</v>
      </c>
      <c r="AE756" s="108">
        <f>ROUND(K756+mwreg!$G$82/100,3)</f>
        <v>-8.9999999999999993E-3</v>
      </c>
      <c r="AF756" s="102">
        <f t="shared" si="1183"/>
        <v>0.22500000000000001</v>
      </c>
      <c r="AG756" s="102" t="str">
        <f t="shared" si="1184"/>
        <v>NaN</v>
      </c>
      <c r="AH756" s="109" t="str">
        <f t="shared" si="1208"/>
        <v>NaN</v>
      </c>
      <c r="AI756" s="110">
        <f t="shared" si="1209"/>
        <v>180</v>
      </c>
      <c r="AJ756" s="110">
        <f t="shared" si="1210"/>
        <v>60</v>
      </c>
      <c r="AK756" s="108">
        <f t="shared" si="1211"/>
        <v>1E-3</v>
      </c>
      <c r="AL756" s="110">
        <f t="shared" si="1212"/>
        <v>3</v>
      </c>
      <c r="AM756" s="110">
        <f t="shared" si="1213"/>
        <v>1500</v>
      </c>
      <c r="AN756" s="108">
        <f t="shared" si="1214"/>
        <v>0.1</v>
      </c>
      <c r="AO756" s="186" t="str">
        <f t="shared" si="1215"/>
        <v>NaN</v>
      </c>
    </row>
    <row r="757" spans="1:41" x14ac:dyDescent="0.2">
      <c r="A757" s="3" t="s">
        <v>296</v>
      </c>
      <c r="B757" s="3" t="s">
        <v>296</v>
      </c>
      <c r="C757" s="52">
        <v>33096</v>
      </c>
      <c r="D757" s="105">
        <v>57.6967</v>
      </c>
      <c r="E757" s="160">
        <v>11.908899999999999</v>
      </c>
      <c r="F757" s="20">
        <v>8195</v>
      </c>
      <c r="G757" s="18">
        <v>0</v>
      </c>
      <c r="H757" s="53">
        <v>4</v>
      </c>
      <c r="I757" s="167">
        <f t="shared" si="1197"/>
        <v>-0.88</v>
      </c>
      <c r="J757" s="104">
        <f t="shared" si="1197"/>
        <v>0.84899999999999998</v>
      </c>
      <c r="K757" s="104">
        <f t="shared" si="1197"/>
        <v>-8.6999999999999994E-2</v>
      </c>
      <c r="L757" s="105">
        <f t="shared" si="1197"/>
        <v>0.156</v>
      </c>
      <c r="M757" s="105" t="s">
        <v>282</v>
      </c>
      <c r="N757" s="105" t="s">
        <v>282</v>
      </c>
      <c r="O757" s="20">
        <f t="shared" si="1198"/>
        <v>180</v>
      </c>
      <c r="P757" s="20">
        <f t="shared" si="1198"/>
        <v>60</v>
      </c>
      <c r="Q757" s="104">
        <f t="shared" si="1199"/>
        <v>1E-3</v>
      </c>
      <c r="R757" s="20">
        <f t="shared" si="1200"/>
        <v>3</v>
      </c>
      <c r="S757" s="20">
        <f t="shared" si="1200"/>
        <v>1500</v>
      </c>
      <c r="T757" s="104">
        <f t="shared" si="1201"/>
        <v>0.1</v>
      </c>
      <c r="U757" s="123" t="s">
        <v>282</v>
      </c>
      <c r="V757" s="21"/>
      <c r="W757" s="58">
        <f t="shared" si="1202"/>
        <v>33096</v>
      </c>
      <c r="X757" s="102">
        <f t="shared" si="1203"/>
        <v>57.6967</v>
      </c>
      <c r="Y757" s="102">
        <f t="shared" si="1204"/>
        <v>11.908899999999999</v>
      </c>
      <c r="Z757" s="21">
        <f t="shared" si="1205"/>
        <v>8195</v>
      </c>
      <c r="AA757" s="44">
        <f t="shared" si="1206"/>
        <v>0</v>
      </c>
      <c r="AB757" s="21">
        <f t="shared" si="1207"/>
        <v>4</v>
      </c>
      <c r="AC757" s="119">
        <f>ROUND(I757+mwreg!$G$82/100,3)</f>
        <v>-0.83099999999999996</v>
      </c>
      <c r="AD757" s="108">
        <f>ROUND(J757+mwreg!$G$82/100,3)</f>
        <v>0.89800000000000002</v>
      </c>
      <c r="AE757" s="108">
        <f>ROUND(K757+mwreg!$G$82/100,3)</f>
        <v>-3.7999999999999999E-2</v>
      </c>
      <c r="AF757" s="102">
        <f t="shared" si="1183"/>
        <v>0.156</v>
      </c>
      <c r="AG757" s="102" t="str">
        <f t="shared" si="1184"/>
        <v>NaN</v>
      </c>
      <c r="AH757" s="109" t="str">
        <f t="shared" si="1208"/>
        <v>NaN</v>
      </c>
      <c r="AI757" s="110">
        <f t="shared" si="1209"/>
        <v>180</v>
      </c>
      <c r="AJ757" s="110">
        <f t="shared" si="1210"/>
        <v>60</v>
      </c>
      <c r="AK757" s="108">
        <f t="shared" si="1211"/>
        <v>1E-3</v>
      </c>
      <c r="AL757" s="110">
        <f t="shared" si="1212"/>
        <v>3</v>
      </c>
      <c r="AM757" s="110">
        <f t="shared" si="1213"/>
        <v>1500</v>
      </c>
      <c r="AN757" s="108">
        <f t="shared" si="1214"/>
        <v>0.1</v>
      </c>
      <c r="AO757" s="186" t="str">
        <f t="shared" si="1215"/>
        <v>NaN</v>
      </c>
    </row>
    <row r="758" spans="1:41" x14ac:dyDescent="0.2">
      <c r="A758" s="3" t="s">
        <v>296</v>
      </c>
      <c r="B758" s="3" t="s">
        <v>296</v>
      </c>
      <c r="C758" s="52">
        <v>33096</v>
      </c>
      <c r="D758" s="105">
        <v>57.6967</v>
      </c>
      <c r="E758" s="160">
        <v>11.908899999999999</v>
      </c>
      <c r="F758" s="20">
        <v>8195</v>
      </c>
      <c r="G758" s="18">
        <v>0</v>
      </c>
      <c r="H758" s="53">
        <v>5</v>
      </c>
      <c r="I758" s="167">
        <f t="shared" si="1197"/>
        <v>-0.6</v>
      </c>
      <c r="J758" s="104">
        <f t="shared" si="1197"/>
        <v>0.66200000000000003</v>
      </c>
      <c r="K758" s="104">
        <f t="shared" si="1197"/>
        <v>-6.3E-2</v>
      </c>
      <c r="L758" s="105">
        <f t="shared" si="1197"/>
        <v>0.14399999999999999</v>
      </c>
      <c r="M758" s="105" t="s">
        <v>282</v>
      </c>
      <c r="N758" s="105" t="s">
        <v>282</v>
      </c>
      <c r="O758" s="20">
        <f t="shared" si="1198"/>
        <v>180</v>
      </c>
      <c r="P758" s="20">
        <f t="shared" si="1198"/>
        <v>60</v>
      </c>
      <c r="Q758" s="104">
        <f t="shared" si="1199"/>
        <v>1E-3</v>
      </c>
      <c r="R758" s="20">
        <f t="shared" si="1200"/>
        <v>3</v>
      </c>
      <c r="S758" s="20">
        <f t="shared" si="1200"/>
        <v>1500</v>
      </c>
      <c r="T758" s="104">
        <f t="shared" si="1201"/>
        <v>0.1</v>
      </c>
      <c r="U758" s="123" t="s">
        <v>282</v>
      </c>
      <c r="V758" s="21"/>
      <c r="W758" s="58">
        <f t="shared" si="1202"/>
        <v>33096</v>
      </c>
      <c r="X758" s="102">
        <f t="shared" si="1203"/>
        <v>57.6967</v>
      </c>
      <c r="Y758" s="102">
        <f t="shared" si="1204"/>
        <v>11.908899999999999</v>
      </c>
      <c r="Z758" s="21">
        <f t="shared" si="1205"/>
        <v>8195</v>
      </c>
      <c r="AA758" s="44">
        <f t="shared" si="1206"/>
        <v>0</v>
      </c>
      <c r="AB758" s="21">
        <f t="shared" si="1207"/>
        <v>5</v>
      </c>
      <c r="AC758" s="119">
        <f>ROUND(I758+mwreg!$G$82/100,3)</f>
        <v>-0.55100000000000005</v>
      </c>
      <c r="AD758" s="108">
        <f>ROUND(J758+mwreg!$G$82/100,3)</f>
        <v>0.71099999999999997</v>
      </c>
      <c r="AE758" s="108">
        <f>ROUND(K758+mwreg!$G$82/100,3)</f>
        <v>-1.4E-2</v>
      </c>
      <c r="AF758" s="102">
        <f t="shared" si="1183"/>
        <v>0.14399999999999999</v>
      </c>
      <c r="AG758" s="102" t="str">
        <f t="shared" si="1184"/>
        <v>NaN</v>
      </c>
      <c r="AH758" s="109" t="str">
        <f t="shared" si="1208"/>
        <v>NaN</v>
      </c>
      <c r="AI758" s="110">
        <f t="shared" si="1209"/>
        <v>180</v>
      </c>
      <c r="AJ758" s="110">
        <f t="shared" si="1210"/>
        <v>60</v>
      </c>
      <c r="AK758" s="108">
        <f t="shared" si="1211"/>
        <v>1E-3</v>
      </c>
      <c r="AL758" s="110">
        <f t="shared" si="1212"/>
        <v>3</v>
      </c>
      <c r="AM758" s="110">
        <f t="shared" si="1213"/>
        <v>1500</v>
      </c>
      <c r="AN758" s="108">
        <f t="shared" si="1214"/>
        <v>0.1</v>
      </c>
      <c r="AO758" s="186" t="str">
        <f t="shared" si="1215"/>
        <v>NaN</v>
      </c>
    </row>
    <row r="759" spans="1:41" x14ac:dyDescent="0.2">
      <c r="A759" s="3" t="s">
        <v>296</v>
      </c>
      <c r="B759" s="3" t="s">
        <v>296</v>
      </c>
      <c r="C759" s="52">
        <v>33096</v>
      </c>
      <c r="D759" s="105">
        <v>57.6967</v>
      </c>
      <c r="E759" s="160">
        <v>11.908899999999999</v>
      </c>
      <c r="F759" s="20">
        <v>8195</v>
      </c>
      <c r="G759" s="18">
        <v>0</v>
      </c>
      <c r="H759" s="53">
        <v>6</v>
      </c>
      <c r="I759" s="167">
        <f t="shared" si="1197"/>
        <v>-0.50700000000000001</v>
      </c>
      <c r="J759" s="104">
        <f t="shared" si="1197"/>
        <v>0.92800000000000005</v>
      </c>
      <c r="K759" s="104">
        <f t="shared" si="1197"/>
        <v>-6.0000000000000001E-3</v>
      </c>
      <c r="L759" s="105">
        <f t="shared" si="1197"/>
        <v>0.13800000000000001</v>
      </c>
      <c r="M759" s="105" t="s">
        <v>282</v>
      </c>
      <c r="N759" s="105" t="s">
        <v>282</v>
      </c>
      <c r="O759" s="20">
        <f t="shared" si="1198"/>
        <v>180</v>
      </c>
      <c r="P759" s="20">
        <f t="shared" si="1198"/>
        <v>60</v>
      </c>
      <c r="Q759" s="104">
        <f t="shared" si="1199"/>
        <v>1E-3</v>
      </c>
      <c r="R759" s="20">
        <f t="shared" si="1200"/>
        <v>3</v>
      </c>
      <c r="S759" s="20">
        <f t="shared" si="1200"/>
        <v>1500</v>
      </c>
      <c r="T759" s="104">
        <f t="shared" si="1201"/>
        <v>0.1</v>
      </c>
      <c r="U759" s="123" t="s">
        <v>282</v>
      </c>
      <c r="V759" s="21"/>
      <c r="W759" s="58">
        <f t="shared" si="1202"/>
        <v>33096</v>
      </c>
      <c r="X759" s="102">
        <f t="shared" si="1203"/>
        <v>57.6967</v>
      </c>
      <c r="Y759" s="102">
        <f t="shared" si="1204"/>
        <v>11.908899999999999</v>
      </c>
      <c r="Z759" s="21">
        <f t="shared" si="1205"/>
        <v>8195</v>
      </c>
      <c r="AA759" s="44">
        <f t="shared" si="1206"/>
        <v>0</v>
      </c>
      <c r="AB759" s="21">
        <f t="shared" si="1207"/>
        <v>6</v>
      </c>
      <c r="AC759" s="119">
        <f>ROUND(I759+mwreg!$G$82/100,3)</f>
        <v>-0.45800000000000002</v>
      </c>
      <c r="AD759" s="108">
        <f>ROUND(J759+mwreg!$G$82/100,3)</f>
        <v>0.97699999999999998</v>
      </c>
      <c r="AE759" s="108">
        <f>ROUND(K759+mwreg!$G$82/100,3)</f>
        <v>4.2999999999999997E-2</v>
      </c>
      <c r="AF759" s="102">
        <f t="shared" si="1183"/>
        <v>0.13800000000000001</v>
      </c>
      <c r="AG759" s="102" t="str">
        <f t="shared" si="1184"/>
        <v>NaN</v>
      </c>
      <c r="AH759" s="109" t="str">
        <f t="shared" si="1208"/>
        <v>NaN</v>
      </c>
      <c r="AI759" s="110">
        <f t="shared" si="1209"/>
        <v>180</v>
      </c>
      <c r="AJ759" s="110">
        <f t="shared" si="1210"/>
        <v>60</v>
      </c>
      <c r="AK759" s="108">
        <f t="shared" si="1211"/>
        <v>1E-3</v>
      </c>
      <c r="AL759" s="110">
        <f t="shared" si="1212"/>
        <v>3</v>
      </c>
      <c r="AM759" s="110">
        <f t="shared" si="1213"/>
        <v>1500</v>
      </c>
      <c r="AN759" s="108">
        <f t="shared" si="1214"/>
        <v>0.1</v>
      </c>
      <c r="AO759" s="186" t="str">
        <f t="shared" si="1215"/>
        <v>NaN</v>
      </c>
    </row>
    <row r="760" spans="1:41" x14ac:dyDescent="0.2">
      <c r="A760" s="3" t="s">
        <v>296</v>
      </c>
      <c r="B760" s="3" t="s">
        <v>296</v>
      </c>
      <c r="C760" s="52">
        <v>33096</v>
      </c>
      <c r="D760" s="105">
        <v>57.6967</v>
      </c>
      <c r="E760" s="160">
        <v>11.908899999999999</v>
      </c>
      <c r="F760" s="20">
        <v>8195</v>
      </c>
      <c r="G760" s="18">
        <v>0</v>
      </c>
      <c r="H760" s="53">
        <v>7</v>
      </c>
      <c r="I760" s="167">
        <f t="shared" si="1197"/>
        <v>-0.42599999999999999</v>
      </c>
      <c r="J760" s="104">
        <f t="shared" si="1197"/>
        <v>0.83199999999999996</v>
      </c>
      <c r="K760" s="104">
        <f t="shared" si="1197"/>
        <v>4.8000000000000001E-2</v>
      </c>
      <c r="L760" s="105">
        <f t="shared" si="1197"/>
        <v>0.13200000000000001</v>
      </c>
      <c r="M760" s="105" t="s">
        <v>282</v>
      </c>
      <c r="N760" s="105" t="s">
        <v>282</v>
      </c>
      <c r="O760" s="20">
        <f t="shared" si="1198"/>
        <v>180</v>
      </c>
      <c r="P760" s="20">
        <f t="shared" si="1198"/>
        <v>60</v>
      </c>
      <c r="Q760" s="104">
        <f t="shared" si="1199"/>
        <v>1E-3</v>
      </c>
      <c r="R760" s="20">
        <f t="shared" si="1200"/>
        <v>3</v>
      </c>
      <c r="S760" s="20">
        <f t="shared" si="1200"/>
        <v>1500</v>
      </c>
      <c r="T760" s="104">
        <f t="shared" si="1201"/>
        <v>0.1</v>
      </c>
      <c r="U760" s="123" t="s">
        <v>282</v>
      </c>
      <c r="V760" s="21"/>
      <c r="W760" s="58">
        <f t="shared" si="1202"/>
        <v>33096</v>
      </c>
      <c r="X760" s="102">
        <f t="shared" si="1203"/>
        <v>57.6967</v>
      </c>
      <c r="Y760" s="102">
        <f t="shared" si="1204"/>
        <v>11.908899999999999</v>
      </c>
      <c r="Z760" s="21">
        <f t="shared" si="1205"/>
        <v>8195</v>
      </c>
      <c r="AA760" s="44">
        <f t="shared" si="1206"/>
        <v>0</v>
      </c>
      <c r="AB760" s="21">
        <f t="shared" si="1207"/>
        <v>7</v>
      </c>
      <c r="AC760" s="119">
        <f>ROUND(I760+mwreg!$G$82/100,3)</f>
        <v>-0.377</v>
      </c>
      <c r="AD760" s="108">
        <f>ROUND(J760+mwreg!$G$82/100,3)</f>
        <v>0.88100000000000001</v>
      </c>
      <c r="AE760" s="108">
        <f>ROUND(K760+mwreg!$G$82/100,3)</f>
        <v>9.7000000000000003E-2</v>
      </c>
      <c r="AF760" s="102">
        <f t="shared" si="1183"/>
        <v>0.13200000000000001</v>
      </c>
      <c r="AG760" s="102" t="str">
        <f t="shared" si="1184"/>
        <v>NaN</v>
      </c>
      <c r="AH760" s="109" t="str">
        <f t="shared" si="1208"/>
        <v>NaN</v>
      </c>
      <c r="AI760" s="110">
        <f t="shared" si="1209"/>
        <v>180</v>
      </c>
      <c r="AJ760" s="110">
        <f t="shared" si="1210"/>
        <v>60</v>
      </c>
      <c r="AK760" s="108">
        <f t="shared" si="1211"/>
        <v>1E-3</v>
      </c>
      <c r="AL760" s="110">
        <f t="shared" si="1212"/>
        <v>3</v>
      </c>
      <c r="AM760" s="110">
        <f t="shared" si="1213"/>
        <v>1500</v>
      </c>
      <c r="AN760" s="108">
        <f t="shared" si="1214"/>
        <v>0.1</v>
      </c>
      <c r="AO760" s="186" t="str">
        <f t="shared" si="1215"/>
        <v>NaN</v>
      </c>
    </row>
    <row r="761" spans="1:41" x14ac:dyDescent="0.2">
      <c r="A761" s="3" t="s">
        <v>296</v>
      </c>
      <c r="B761" s="3" t="s">
        <v>296</v>
      </c>
      <c r="C761" s="52">
        <v>33096</v>
      </c>
      <c r="D761" s="105">
        <v>57.6967</v>
      </c>
      <c r="E761" s="160">
        <v>11.908899999999999</v>
      </c>
      <c r="F761" s="20">
        <v>8195</v>
      </c>
      <c r="G761" s="18">
        <v>0</v>
      </c>
      <c r="H761" s="53">
        <v>8</v>
      </c>
      <c r="I761" s="167">
        <f t="shared" si="1197"/>
        <v>-0.40699999999999997</v>
      </c>
      <c r="J761" s="104">
        <f t="shared" si="1197"/>
        <v>0.89800000000000002</v>
      </c>
      <c r="K761" s="104">
        <f t="shared" si="1197"/>
        <v>7.1999999999999995E-2</v>
      </c>
      <c r="L761" s="105">
        <f t="shared" si="1197"/>
        <v>0.14099999999999999</v>
      </c>
      <c r="M761" s="105" t="s">
        <v>282</v>
      </c>
      <c r="N761" s="105" t="s">
        <v>282</v>
      </c>
      <c r="O761" s="20">
        <f t="shared" si="1198"/>
        <v>180</v>
      </c>
      <c r="P761" s="20">
        <f t="shared" si="1198"/>
        <v>60</v>
      </c>
      <c r="Q761" s="104">
        <f t="shared" si="1199"/>
        <v>1E-3</v>
      </c>
      <c r="R761" s="20">
        <f t="shared" si="1200"/>
        <v>3</v>
      </c>
      <c r="S761" s="20">
        <f t="shared" si="1200"/>
        <v>1500</v>
      </c>
      <c r="T761" s="104">
        <f t="shared" si="1201"/>
        <v>0.1</v>
      </c>
      <c r="U761" s="123" t="s">
        <v>282</v>
      </c>
      <c r="V761" s="21"/>
      <c r="W761" s="58">
        <f t="shared" si="1202"/>
        <v>33096</v>
      </c>
      <c r="X761" s="102">
        <f t="shared" si="1203"/>
        <v>57.6967</v>
      </c>
      <c r="Y761" s="102">
        <f t="shared" si="1204"/>
        <v>11.908899999999999</v>
      </c>
      <c r="Z761" s="21">
        <f t="shared" si="1205"/>
        <v>8195</v>
      </c>
      <c r="AA761" s="44">
        <f t="shared" si="1206"/>
        <v>0</v>
      </c>
      <c r="AB761" s="21">
        <f t="shared" si="1207"/>
        <v>8</v>
      </c>
      <c r="AC761" s="119">
        <f>ROUND(I761+mwreg!$G$82/100,3)</f>
        <v>-0.35799999999999998</v>
      </c>
      <c r="AD761" s="108">
        <f>ROUND(J761+mwreg!$G$82/100,3)</f>
        <v>0.94699999999999995</v>
      </c>
      <c r="AE761" s="108">
        <f>ROUND(K761+mwreg!$G$82/100,3)</f>
        <v>0.121</v>
      </c>
      <c r="AF761" s="102">
        <f t="shared" si="1183"/>
        <v>0.14099999999999999</v>
      </c>
      <c r="AG761" s="102" t="str">
        <f t="shared" si="1184"/>
        <v>NaN</v>
      </c>
      <c r="AH761" s="109" t="str">
        <f t="shared" si="1208"/>
        <v>NaN</v>
      </c>
      <c r="AI761" s="110">
        <f t="shared" si="1209"/>
        <v>180</v>
      </c>
      <c r="AJ761" s="110">
        <f t="shared" si="1210"/>
        <v>60</v>
      </c>
      <c r="AK761" s="108">
        <f t="shared" si="1211"/>
        <v>1E-3</v>
      </c>
      <c r="AL761" s="110">
        <f t="shared" si="1212"/>
        <v>3</v>
      </c>
      <c r="AM761" s="110">
        <f t="shared" si="1213"/>
        <v>1500</v>
      </c>
      <c r="AN761" s="108">
        <f t="shared" si="1214"/>
        <v>0.1</v>
      </c>
      <c r="AO761" s="186" t="str">
        <f t="shared" si="1215"/>
        <v>NaN</v>
      </c>
    </row>
    <row r="762" spans="1:41" x14ac:dyDescent="0.2">
      <c r="A762" s="3" t="s">
        <v>296</v>
      </c>
      <c r="B762" s="3" t="s">
        <v>296</v>
      </c>
      <c r="C762" s="52">
        <v>33096</v>
      </c>
      <c r="D762" s="105">
        <v>57.6967</v>
      </c>
      <c r="E762" s="160">
        <v>11.908899999999999</v>
      </c>
      <c r="F762" s="20">
        <v>8195</v>
      </c>
      <c r="G762" s="18">
        <v>0</v>
      </c>
      <c r="H762" s="53">
        <v>9</v>
      </c>
      <c r="I762" s="167">
        <f t="shared" si="1197"/>
        <v>-0.55800000000000005</v>
      </c>
      <c r="J762" s="104">
        <f t="shared" si="1197"/>
        <v>1.167</v>
      </c>
      <c r="K762" s="104">
        <f t="shared" si="1197"/>
        <v>9.2999999999999999E-2</v>
      </c>
      <c r="L762" s="105">
        <f t="shared" si="1197"/>
        <v>0.187</v>
      </c>
      <c r="M762" s="105" t="s">
        <v>282</v>
      </c>
      <c r="N762" s="105" t="s">
        <v>282</v>
      </c>
      <c r="O762" s="20">
        <f t="shared" si="1198"/>
        <v>180</v>
      </c>
      <c r="P762" s="20">
        <f t="shared" si="1198"/>
        <v>60</v>
      </c>
      <c r="Q762" s="104">
        <f t="shared" si="1199"/>
        <v>1E-3</v>
      </c>
      <c r="R762" s="20">
        <f t="shared" si="1200"/>
        <v>3</v>
      </c>
      <c r="S762" s="20">
        <f t="shared" si="1200"/>
        <v>1500</v>
      </c>
      <c r="T762" s="104">
        <f t="shared" si="1201"/>
        <v>0.1</v>
      </c>
      <c r="U762" s="123" t="s">
        <v>282</v>
      </c>
      <c r="V762" s="21"/>
      <c r="W762" s="58">
        <f t="shared" si="1202"/>
        <v>33096</v>
      </c>
      <c r="X762" s="102">
        <f t="shared" si="1203"/>
        <v>57.6967</v>
      </c>
      <c r="Y762" s="102">
        <f t="shared" si="1204"/>
        <v>11.908899999999999</v>
      </c>
      <c r="Z762" s="21">
        <f t="shared" si="1205"/>
        <v>8195</v>
      </c>
      <c r="AA762" s="44">
        <f t="shared" si="1206"/>
        <v>0</v>
      </c>
      <c r="AB762" s="21">
        <f t="shared" si="1207"/>
        <v>9</v>
      </c>
      <c r="AC762" s="119">
        <f>ROUND(I762+mwreg!$G$82/100,3)</f>
        <v>-0.50900000000000001</v>
      </c>
      <c r="AD762" s="108">
        <f>ROUND(J762+mwreg!$G$82/100,3)</f>
        <v>1.216</v>
      </c>
      <c r="AE762" s="108">
        <f>ROUND(K762+mwreg!$G$82/100,3)</f>
        <v>0.14199999999999999</v>
      </c>
      <c r="AF762" s="102">
        <f t="shared" si="1183"/>
        <v>0.187</v>
      </c>
      <c r="AG762" s="102" t="str">
        <f t="shared" si="1184"/>
        <v>NaN</v>
      </c>
      <c r="AH762" s="109" t="str">
        <f t="shared" si="1208"/>
        <v>NaN</v>
      </c>
      <c r="AI762" s="110">
        <f t="shared" si="1209"/>
        <v>180</v>
      </c>
      <c r="AJ762" s="110">
        <f t="shared" si="1210"/>
        <v>60</v>
      </c>
      <c r="AK762" s="108">
        <f t="shared" si="1211"/>
        <v>1E-3</v>
      </c>
      <c r="AL762" s="110">
        <f t="shared" si="1212"/>
        <v>3</v>
      </c>
      <c r="AM762" s="110">
        <f t="shared" si="1213"/>
        <v>1500</v>
      </c>
      <c r="AN762" s="108">
        <f t="shared" si="1214"/>
        <v>0.1</v>
      </c>
      <c r="AO762" s="186" t="str">
        <f t="shared" si="1215"/>
        <v>NaN</v>
      </c>
    </row>
    <row r="763" spans="1:41" x14ac:dyDescent="0.2">
      <c r="A763" s="3" t="s">
        <v>296</v>
      </c>
      <c r="B763" s="3" t="s">
        <v>296</v>
      </c>
      <c r="C763" s="52">
        <v>33096</v>
      </c>
      <c r="D763" s="105">
        <v>57.6967</v>
      </c>
      <c r="E763" s="160">
        <v>11.908899999999999</v>
      </c>
      <c r="F763" s="20">
        <v>8195</v>
      </c>
      <c r="G763" s="18">
        <v>0</v>
      </c>
      <c r="H763" s="53">
        <v>10</v>
      </c>
      <c r="I763" s="167">
        <f t="shared" si="1197"/>
        <v>-0.64700000000000002</v>
      </c>
      <c r="J763" s="104">
        <f t="shared" si="1197"/>
        <v>1.214</v>
      </c>
      <c r="K763" s="104">
        <f t="shared" si="1197"/>
        <v>8.6999999999999994E-2</v>
      </c>
      <c r="L763" s="105">
        <f t="shared" si="1197"/>
        <v>0.214</v>
      </c>
      <c r="M763" s="105" t="s">
        <v>282</v>
      </c>
      <c r="N763" s="105" t="s">
        <v>282</v>
      </c>
      <c r="O763" s="20">
        <f t="shared" si="1198"/>
        <v>180</v>
      </c>
      <c r="P763" s="20">
        <f t="shared" si="1198"/>
        <v>60</v>
      </c>
      <c r="Q763" s="104">
        <f t="shared" si="1199"/>
        <v>1E-3</v>
      </c>
      <c r="R763" s="20">
        <f t="shared" si="1200"/>
        <v>3</v>
      </c>
      <c r="S763" s="20">
        <f t="shared" si="1200"/>
        <v>1500</v>
      </c>
      <c r="T763" s="104">
        <f t="shared" si="1201"/>
        <v>0.1</v>
      </c>
      <c r="U763" s="123" t="s">
        <v>282</v>
      </c>
      <c r="V763" s="21"/>
      <c r="W763" s="58">
        <f t="shared" si="1202"/>
        <v>33096</v>
      </c>
      <c r="X763" s="102">
        <f t="shared" si="1203"/>
        <v>57.6967</v>
      </c>
      <c r="Y763" s="102">
        <f t="shared" si="1204"/>
        <v>11.908899999999999</v>
      </c>
      <c r="Z763" s="21">
        <f t="shared" si="1205"/>
        <v>8195</v>
      </c>
      <c r="AA763" s="44">
        <f t="shared" si="1206"/>
        <v>0</v>
      </c>
      <c r="AB763" s="21">
        <f t="shared" si="1207"/>
        <v>10</v>
      </c>
      <c r="AC763" s="119">
        <f>ROUND(I763+mwreg!$G$82/100,3)</f>
        <v>-0.59799999999999998</v>
      </c>
      <c r="AD763" s="108">
        <f>ROUND(J763+mwreg!$G$82/100,3)</f>
        <v>1.2629999999999999</v>
      </c>
      <c r="AE763" s="108">
        <f>ROUND(K763+mwreg!$G$82/100,3)</f>
        <v>0.13600000000000001</v>
      </c>
      <c r="AF763" s="102">
        <f t="shared" si="1183"/>
        <v>0.214</v>
      </c>
      <c r="AG763" s="102" t="str">
        <f t="shared" si="1184"/>
        <v>NaN</v>
      </c>
      <c r="AH763" s="109" t="str">
        <f t="shared" si="1208"/>
        <v>NaN</v>
      </c>
      <c r="AI763" s="110">
        <f t="shared" si="1209"/>
        <v>180</v>
      </c>
      <c r="AJ763" s="110">
        <f t="shared" si="1210"/>
        <v>60</v>
      </c>
      <c r="AK763" s="108">
        <f t="shared" si="1211"/>
        <v>1E-3</v>
      </c>
      <c r="AL763" s="110">
        <f t="shared" si="1212"/>
        <v>3</v>
      </c>
      <c r="AM763" s="110">
        <f t="shared" si="1213"/>
        <v>1500</v>
      </c>
      <c r="AN763" s="108">
        <f t="shared" si="1214"/>
        <v>0.1</v>
      </c>
      <c r="AO763" s="186" t="str">
        <f t="shared" si="1215"/>
        <v>NaN</v>
      </c>
    </row>
    <row r="764" spans="1:41" x14ac:dyDescent="0.2">
      <c r="A764" s="3" t="s">
        <v>296</v>
      </c>
      <c r="B764" s="3" t="s">
        <v>296</v>
      </c>
      <c r="C764" s="52">
        <v>33096</v>
      </c>
      <c r="D764" s="105">
        <v>57.6967</v>
      </c>
      <c r="E764" s="160">
        <v>11.908899999999999</v>
      </c>
      <c r="F764" s="20">
        <v>8195</v>
      </c>
      <c r="G764" s="18">
        <v>0</v>
      </c>
      <c r="H764" s="53">
        <v>11</v>
      </c>
      <c r="I764" s="167">
        <f t="shared" si="1197"/>
        <v>-0.78900000000000003</v>
      </c>
      <c r="J764" s="104">
        <f t="shared" si="1197"/>
        <v>1.5</v>
      </c>
      <c r="K764" s="104">
        <f t="shared" si="1197"/>
        <v>0.112</v>
      </c>
      <c r="L764" s="105">
        <f t="shared" si="1197"/>
        <v>0.22800000000000001</v>
      </c>
      <c r="M764" s="105" t="s">
        <v>282</v>
      </c>
      <c r="N764" s="105" t="s">
        <v>282</v>
      </c>
      <c r="O764" s="20">
        <f t="shared" si="1198"/>
        <v>180</v>
      </c>
      <c r="P764" s="20">
        <f t="shared" si="1198"/>
        <v>60</v>
      </c>
      <c r="Q764" s="104">
        <f t="shared" si="1199"/>
        <v>1E-3</v>
      </c>
      <c r="R764" s="20">
        <f t="shared" si="1200"/>
        <v>3</v>
      </c>
      <c r="S764" s="20">
        <f t="shared" si="1200"/>
        <v>1500</v>
      </c>
      <c r="T764" s="104">
        <f t="shared" si="1201"/>
        <v>0.1</v>
      </c>
      <c r="U764" s="123" t="s">
        <v>282</v>
      </c>
      <c r="V764" s="21"/>
      <c r="W764" s="58">
        <f t="shared" si="1202"/>
        <v>33096</v>
      </c>
      <c r="X764" s="102">
        <f t="shared" si="1203"/>
        <v>57.6967</v>
      </c>
      <c r="Y764" s="102">
        <f t="shared" si="1204"/>
        <v>11.908899999999999</v>
      </c>
      <c r="Z764" s="21">
        <f t="shared" si="1205"/>
        <v>8195</v>
      </c>
      <c r="AA764" s="44">
        <f t="shared" si="1206"/>
        <v>0</v>
      </c>
      <c r="AB764" s="21">
        <f t="shared" si="1207"/>
        <v>11</v>
      </c>
      <c r="AC764" s="119">
        <f>ROUND(I764+mwreg!$G$82/100,3)</f>
        <v>-0.74</v>
      </c>
      <c r="AD764" s="108">
        <f>ROUND(J764+mwreg!$G$82/100,3)</f>
        <v>1.5489999999999999</v>
      </c>
      <c r="AE764" s="108">
        <f>ROUND(K764+mwreg!$G$82/100,3)</f>
        <v>0.161</v>
      </c>
      <c r="AF764" s="102">
        <f t="shared" si="1183"/>
        <v>0.22800000000000001</v>
      </c>
      <c r="AG764" s="102" t="str">
        <f t="shared" si="1184"/>
        <v>NaN</v>
      </c>
      <c r="AH764" s="109" t="str">
        <f t="shared" si="1208"/>
        <v>NaN</v>
      </c>
      <c r="AI764" s="110">
        <f t="shared" si="1209"/>
        <v>180</v>
      </c>
      <c r="AJ764" s="110">
        <f t="shared" si="1210"/>
        <v>60</v>
      </c>
      <c r="AK764" s="108">
        <f t="shared" si="1211"/>
        <v>1E-3</v>
      </c>
      <c r="AL764" s="110">
        <f t="shared" si="1212"/>
        <v>3</v>
      </c>
      <c r="AM764" s="110">
        <f t="shared" si="1213"/>
        <v>1500</v>
      </c>
      <c r="AN764" s="108">
        <f t="shared" si="1214"/>
        <v>0.1</v>
      </c>
      <c r="AO764" s="186" t="str">
        <f t="shared" si="1215"/>
        <v>NaN</v>
      </c>
    </row>
    <row r="765" spans="1:41" x14ac:dyDescent="0.2">
      <c r="A765" s="3" t="s">
        <v>296</v>
      </c>
      <c r="B765" s="3" t="s">
        <v>296</v>
      </c>
      <c r="C765" s="52">
        <v>33096</v>
      </c>
      <c r="D765" s="105">
        <v>57.6967</v>
      </c>
      <c r="E765" s="160">
        <v>11.908899999999999</v>
      </c>
      <c r="F765" s="20">
        <v>8195</v>
      </c>
      <c r="G765" s="18">
        <v>0</v>
      </c>
      <c r="H765" s="53">
        <v>12</v>
      </c>
      <c r="I765" s="167">
        <f t="shared" si="1197"/>
        <v>-0.88200000000000001</v>
      </c>
      <c r="J765" s="104">
        <f t="shared" si="1197"/>
        <v>1.5680000000000001</v>
      </c>
      <c r="K765" s="104">
        <f t="shared" si="1197"/>
        <v>0.09</v>
      </c>
      <c r="L765" s="105">
        <f t="shared" si="1197"/>
        <v>0.26700000000000002</v>
      </c>
      <c r="M765" s="105" t="s">
        <v>282</v>
      </c>
      <c r="N765" s="105" t="s">
        <v>282</v>
      </c>
      <c r="O765" s="20">
        <f t="shared" si="1198"/>
        <v>180</v>
      </c>
      <c r="P765" s="20">
        <f t="shared" si="1198"/>
        <v>60</v>
      </c>
      <c r="Q765" s="104">
        <f t="shared" si="1199"/>
        <v>1E-3</v>
      </c>
      <c r="R765" s="20">
        <f t="shared" si="1200"/>
        <v>3</v>
      </c>
      <c r="S765" s="20">
        <f t="shared" si="1200"/>
        <v>1500</v>
      </c>
      <c r="T765" s="104">
        <f t="shared" si="1201"/>
        <v>0.1</v>
      </c>
      <c r="U765" s="123" t="s">
        <v>282</v>
      </c>
      <c r="V765" s="21"/>
      <c r="W765" s="58">
        <f t="shared" si="1202"/>
        <v>33096</v>
      </c>
      <c r="X765" s="102">
        <f t="shared" si="1203"/>
        <v>57.6967</v>
      </c>
      <c r="Y765" s="102">
        <f t="shared" si="1204"/>
        <v>11.908899999999999</v>
      </c>
      <c r="Z765" s="21">
        <f t="shared" si="1205"/>
        <v>8195</v>
      </c>
      <c r="AA765" s="44">
        <f t="shared" si="1206"/>
        <v>0</v>
      </c>
      <c r="AB765" s="21">
        <f t="shared" si="1207"/>
        <v>12</v>
      </c>
      <c r="AC765" s="119">
        <f>ROUND(I765+mwreg!$G$82/100,3)</f>
        <v>-0.83299999999999996</v>
      </c>
      <c r="AD765" s="108">
        <f>ROUND(J765+mwreg!$G$82/100,3)</f>
        <v>1.617</v>
      </c>
      <c r="AE765" s="108">
        <f>ROUND(K765+mwreg!$G$82/100,3)</f>
        <v>0.13900000000000001</v>
      </c>
      <c r="AF765" s="102">
        <f t="shared" si="1183"/>
        <v>0.26700000000000002</v>
      </c>
      <c r="AG765" s="102" t="str">
        <f t="shared" si="1184"/>
        <v>NaN</v>
      </c>
      <c r="AH765" s="109" t="str">
        <f t="shared" si="1208"/>
        <v>NaN</v>
      </c>
      <c r="AI765" s="110">
        <f t="shared" si="1209"/>
        <v>180</v>
      </c>
      <c r="AJ765" s="110">
        <f t="shared" si="1210"/>
        <v>60</v>
      </c>
      <c r="AK765" s="108">
        <f t="shared" si="1211"/>
        <v>1E-3</v>
      </c>
      <c r="AL765" s="110">
        <f t="shared" si="1212"/>
        <v>3</v>
      </c>
      <c r="AM765" s="110">
        <f t="shared" si="1213"/>
        <v>1500</v>
      </c>
      <c r="AN765" s="108">
        <f t="shared" si="1214"/>
        <v>0.1</v>
      </c>
      <c r="AO765" s="186" t="str">
        <f t="shared" si="1215"/>
        <v>NaN</v>
      </c>
    </row>
    <row r="766" spans="1:41" x14ac:dyDescent="0.2">
      <c r="A766" s="3" t="str">
        <f>stat_uppg!A74</f>
        <v>2508/33089</v>
      </c>
      <c r="B766" s="3" t="str">
        <f>stat_uppg!B74</f>
        <v>Göteborg-Ringön (SMHI) nedlagd</v>
      </c>
      <c r="C766" s="55">
        <v>2508</v>
      </c>
      <c r="D766" s="87">
        <v>57.7181</v>
      </c>
      <c r="E766" s="87">
        <v>11.968299999999999</v>
      </c>
      <c r="F766" s="14">
        <v>8195</v>
      </c>
      <c r="G766" s="10">
        <v>0</v>
      </c>
      <c r="H766" s="122">
        <v>1</v>
      </c>
      <c r="I766" s="165">
        <v>-1.115</v>
      </c>
      <c r="J766" s="11">
        <v>1.4930000000000001</v>
      </c>
      <c r="K766" s="11">
        <v>7.0000000000000007E-2</v>
      </c>
      <c r="L766" s="79">
        <v>0.27139999999999997</v>
      </c>
      <c r="M766" s="79" t="s">
        <v>282</v>
      </c>
      <c r="N766" s="79" t="s">
        <v>282</v>
      </c>
      <c r="O766" s="14">
        <v>180</v>
      </c>
      <c r="P766" s="14">
        <v>60</v>
      </c>
      <c r="Q766" s="11">
        <v>1E-3</v>
      </c>
      <c r="R766" s="14">
        <v>3</v>
      </c>
      <c r="S766" s="14">
        <v>1500</v>
      </c>
      <c r="T766" s="11">
        <v>0.1</v>
      </c>
      <c r="U766" s="122">
        <v>163900</v>
      </c>
      <c r="V766" s="21"/>
      <c r="W766" s="99">
        <f t="shared" si="1192"/>
        <v>2508</v>
      </c>
      <c r="X766" s="100">
        <f t="shared" si="1193"/>
        <v>57.7181</v>
      </c>
      <c r="Y766" s="100">
        <f t="shared" si="1194"/>
        <v>11.968299999999999</v>
      </c>
      <c r="Z766" s="22">
        <f t="shared" si="1195"/>
        <v>8195</v>
      </c>
      <c r="AA766" s="35">
        <f t="shared" si="1196"/>
        <v>0</v>
      </c>
      <c r="AB766" s="22">
        <f t="shared" si="1185"/>
        <v>1</v>
      </c>
      <c r="AC766" s="137">
        <f>ROUND(I766+mwreg!$G$84/100,3)</f>
        <v>-1.0429999999999999</v>
      </c>
      <c r="AD766" s="134">
        <f>ROUND(J766+mwreg!$G$84/100,3)</f>
        <v>1.5649999999999999</v>
      </c>
      <c r="AE766" s="134">
        <f>ROUND(K766+mwreg!$G$84/100,3)</f>
        <v>0.14199999999999999</v>
      </c>
      <c r="AF766" s="132">
        <f>L766</f>
        <v>0.27139999999999997</v>
      </c>
      <c r="AG766" s="132" t="str">
        <f>M766</f>
        <v>NaN</v>
      </c>
      <c r="AH766" s="164" t="str">
        <f t="shared" ref="AH766:AH869" si="1216">N766</f>
        <v>NaN</v>
      </c>
      <c r="AI766" s="135">
        <f t="shared" ref="AI766:AI869" si="1217">O766</f>
        <v>180</v>
      </c>
      <c r="AJ766" s="135">
        <f t="shared" ref="AJ766:AJ869" si="1218">P766</f>
        <v>60</v>
      </c>
      <c r="AK766" s="134">
        <f t="shared" ref="AK766:AK869" si="1219">Q766</f>
        <v>1E-3</v>
      </c>
      <c r="AL766" s="135">
        <f t="shared" ref="AL766:AL869" si="1220">R766</f>
        <v>3</v>
      </c>
      <c r="AM766" s="135">
        <f t="shared" ref="AM766:AM869" si="1221">S766</f>
        <v>1500</v>
      </c>
      <c r="AN766" s="134">
        <f t="shared" ref="AN766:AN869" si="1222">T766</f>
        <v>0.1</v>
      </c>
      <c r="AO766" s="187">
        <f t="shared" ref="AO766:AO877" si="1223">U766</f>
        <v>163900</v>
      </c>
    </row>
    <row r="767" spans="1:41" x14ac:dyDescent="0.2">
      <c r="A767" s="3" t="s">
        <v>296</v>
      </c>
      <c r="B767" s="3" t="s">
        <v>296</v>
      </c>
      <c r="C767" s="55">
        <v>2508</v>
      </c>
      <c r="D767" s="87">
        <v>57.7181</v>
      </c>
      <c r="E767" s="87">
        <v>11.968299999999999</v>
      </c>
      <c r="F767" s="14">
        <v>8195</v>
      </c>
      <c r="G767" s="10">
        <v>0</v>
      </c>
      <c r="H767" s="122">
        <v>2</v>
      </c>
      <c r="I767" s="165">
        <v>-0.97199999999999998</v>
      </c>
      <c r="J767" s="11">
        <v>1.3580000000000001</v>
      </c>
      <c r="K767" s="11">
        <v>-2.5999999999999999E-2</v>
      </c>
      <c r="L767" s="79">
        <v>0.24129999999999999</v>
      </c>
      <c r="M767" s="79" t="s">
        <v>282</v>
      </c>
      <c r="N767" s="79" t="s">
        <v>282</v>
      </c>
      <c r="O767" s="14">
        <v>180</v>
      </c>
      <c r="P767" s="14">
        <v>60</v>
      </c>
      <c r="Q767" s="11">
        <v>1E-3</v>
      </c>
      <c r="R767" s="14">
        <v>3</v>
      </c>
      <c r="S767" s="14">
        <v>1500</v>
      </c>
      <c r="T767" s="11">
        <v>0.1</v>
      </c>
      <c r="U767" s="122">
        <v>165815</v>
      </c>
      <c r="V767" s="21"/>
      <c r="W767" s="99">
        <f t="shared" si="1192"/>
        <v>2508</v>
      </c>
      <c r="X767" s="100">
        <f t="shared" si="1193"/>
        <v>57.7181</v>
      </c>
      <c r="Y767" s="100">
        <f t="shared" si="1194"/>
        <v>11.968299999999999</v>
      </c>
      <c r="Z767" s="22">
        <f t="shared" si="1195"/>
        <v>8195</v>
      </c>
      <c r="AA767" s="35">
        <f t="shared" si="1196"/>
        <v>0</v>
      </c>
      <c r="AB767" s="22">
        <f t="shared" si="1185"/>
        <v>2</v>
      </c>
      <c r="AC767" s="137">
        <f>ROUND(I767+mwreg!$G$84/100,3)</f>
        <v>-0.9</v>
      </c>
      <c r="AD767" s="134">
        <f>ROUND(J767+mwreg!$G$84/100,3)</f>
        <v>1.43</v>
      </c>
      <c r="AE767" s="134">
        <f>ROUND(K767+mwreg!$G$84/100,3)</f>
        <v>4.5999999999999999E-2</v>
      </c>
      <c r="AF767" s="132">
        <f t="shared" ref="AF767:AF777" si="1224">L767</f>
        <v>0.24129999999999999</v>
      </c>
      <c r="AG767" s="132" t="str">
        <f t="shared" ref="AG767:AG777" si="1225">M767</f>
        <v>NaN</v>
      </c>
      <c r="AH767" s="164" t="str">
        <f t="shared" si="1216"/>
        <v>NaN</v>
      </c>
      <c r="AI767" s="135">
        <f t="shared" si="1217"/>
        <v>180</v>
      </c>
      <c r="AJ767" s="135">
        <f t="shared" si="1218"/>
        <v>60</v>
      </c>
      <c r="AK767" s="134">
        <f t="shared" si="1219"/>
        <v>1E-3</v>
      </c>
      <c r="AL767" s="135">
        <f t="shared" si="1220"/>
        <v>3</v>
      </c>
      <c r="AM767" s="135">
        <f t="shared" si="1221"/>
        <v>1500</v>
      </c>
      <c r="AN767" s="134">
        <f t="shared" si="1222"/>
        <v>0.1</v>
      </c>
      <c r="AO767" s="187">
        <f t="shared" si="1223"/>
        <v>165815</v>
      </c>
    </row>
    <row r="768" spans="1:41" x14ac:dyDescent="0.2">
      <c r="A768" s="3" t="s">
        <v>296</v>
      </c>
      <c r="B768" s="3" t="s">
        <v>296</v>
      </c>
      <c r="C768" s="55">
        <v>2508</v>
      </c>
      <c r="D768" s="87">
        <v>57.7181</v>
      </c>
      <c r="E768" s="87">
        <v>11.968299999999999</v>
      </c>
      <c r="F768" s="14">
        <v>8195</v>
      </c>
      <c r="G768" s="10">
        <v>0</v>
      </c>
      <c r="H768" s="122">
        <v>3</v>
      </c>
      <c r="I768" s="165">
        <v>-0.85599999999999998</v>
      </c>
      <c r="J768" s="11">
        <v>1.2669999999999999</v>
      </c>
      <c r="K768" s="11">
        <v>-5.8000000000000003E-2</v>
      </c>
      <c r="L768" s="79">
        <v>0.2253</v>
      </c>
      <c r="M768" s="79" t="s">
        <v>282</v>
      </c>
      <c r="N768" s="79" t="s">
        <v>282</v>
      </c>
      <c r="O768" s="14">
        <v>180</v>
      </c>
      <c r="P768" s="14">
        <v>60</v>
      </c>
      <c r="Q768" s="11">
        <v>1E-3</v>
      </c>
      <c r="R768" s="14">
        <v>3</v>
      </c>
      <c r="S768" s="14">
        <v>1500</v>
      </c>
      <c r="T768" s="11">
        <v>0.1</v>
      </c>
      <c r="U768" s="122">
        <v>151149</v>
      </c>
      <c r="V768" s="21"/>
      <c r="W768" s="99">
        <f t="shared" si="1192"/>
        <v>2508</v>
      </c>
      <c r="X768" s="100">
        <f t="shared" si="1193"/>
        <v>57.7181</v>
      </c>
      <c r="Y768" s="100">
        <f t="shared" si="1194"/>
        <v>11.968299999999999</v>
      </c>
      <c r="Z768" s="22">
        <f t="shared" si="1195"/>
        <v>8195</v>
      </c>
      <c r="AA768" s="35">
        <f t="shared" si="1196"/>
        <v>0</v>
      </c>
      <c r="AB768" s="22">
        <f t="shared" si="1185"/>
        <v>3</v>
      </c>
      <c r="AC768" s="137">
        <f>ROUND(I768+mwreg!$G$84/100,3)</f>
        <v>-0.78400000000000003</v>
      </c>
      <c r="AD768" s="134">
        <f>ROUND(J768+mwreg!$G$84/100,3)</f>
        <v>1.339</v>
      </c>
      <c r="AE768" s="134">
        <f>ROUND(K768+mwreg!$G$84/100,3)</f>
        <v>1.4E-2</v>
      </c>
      <c r="AF768" s="132">
        <f t="shared" si="1224"/>
        <v>0.2253</v>
      </c>
      <c r="AG768" s="132" t="str">
        <f t="shared" si="1225"/>
        <v>NaN</v>
      </c>
      <c r="AH768" s="164" t="str">
        <f t="shared" si="1216"/>
        <v>NaN</v>
      </c>
      <c r="AI768" s="135">
        <f t="shared" si="1217"/>
        <v>180</v>
      </c>
      <c r="AJ768" s="135">
        <f t="shared" si="1218"/>
        <v>60</v>
      </c>
      <c r="AK768" s="134">
        <f t="shared" si="1219"/>
        <v>1E-3</v>
      </c>
      <c r="AL768" s="135">
        <f t="shared" si="1220"/>
        <v>3</v>
      </c>
      <c r="AM768" s="135">
        <f t="shared" si="1221"/>
        <v>1500</v>
      </c>
      <c r="AN768" s="134">
        <f t="shared" si="1222"/>
        <v>0.1</v>
      </c>
      <c r="AO768" s="187">
        <f t="shared" si="1223"/>
        <v>151149</v>
      </c>
    </row>
    <row r="769" spans="1:41" x14ac:dyDescent="0.2">
      <c r="A769" s="3" t="s">
        <v>296</v>
      </c>
      <c r="B769" s="3" t="s">
        <v>296</v>
      </c>
      <c r="C769" s="55">
        <v>2508</v>
      </c>
      <c r="D769" s="87">
        <v>57.7181</v>
      </c>
      <c r="E769" s="87">
        <v>11.968299999999999</v>
      </c>
      <c r="F769" s="14">
        <v>8195</v>
      </c>
      <c r="G769" s="10">
        <v>0</v>
      </c>
      <c r="H769" s="122">
        <v>4</v>
      </c>
      <c r="I769" s="165">
        <v>-1.0409999999999999</v>
      </c>
      <c r="J769" s="11">
        <v>0.84899999999999998</v>
      </c>
      <c r="K769" s="11">
        <v>-8.6999999999999994E-2</v>
      </c>
      <c r="L769" s="79">
        <v>0.15679999999999999</v>
      </c>
      <c r="M769" s="79" t="s">
        <v>282</v>
      </c>
      <c r="N769" s="79" t="s">
        <v>282</v>
      </c>
      <c r="O769" s="14">
        <v>180</v>
      </c>
      <c r="P769" s="14">
        <v>60</v>
      </c>
      <c r="Q769" s="11">
        <v>1E-3</v>
      </c>
      <c r="R769" s="14">
        <v>3</v>
      </c>
      <c r="S769" s="14">
        <v>1500</v>
      </c>
      <c r="T769" s="11">
        <v>0.1</v>
      </c>
      <c r="U769" s="122">
        <v>139687</v>
      </c>
      <c r="V769" s="21"/>
      <c r="W769" s="99">
        <f t="shared" si="1192"/>
        <v>2508</v>
      </c>
      <c r="X769" s="100">
        <f t="shared" si="1193"/>
        <v>57.7181</v>
      </c>
      <c r="Y769" s="100">
        <f t="shared" si="1194"/>
        <v>11.968299999999999</v>
      </c>
      <c r="Z769" s="22">
        <f t="shared" si="1195"/>
        <v>8195</v>
      </c>
      <c r="AA769" s="35">
        <f t="shared" si="1196"/>
        <v>0</v>
      </c>
      <c r="AB769" s="22">
        <f t="shared" si="1185"/>
        <v>4</v>
      </c>
      <c r="AC769" s="137">
        <f>ROUND(I769+mwreg!$G$84/100,3)</f>
        <v>-0.96899999999999997</v>
      </c>
      <c r="AD769" s="134">
        <f>ROUND(J769+mwreg!$G$84/100,3)</f>
        <v>0.92100000000000004</v>
      </c>
      <c r="AE769" s="134">
        <f>ROUND(K769+mwreg!$G$84/100,3)</f>
        <v>-1.4999999999999999E-2</v>
      </c>
      <c r="AF769" s="132">
        <f t="shared" si="1224"/>
        <v>0.15679999999999999</v>
      </c>
      <c r="AG769" s="132" t="str">
        <f t="shared" si="1225"/>
        <v>NaN</v>
      </c>
      <c r="AH769" s="164" t="str">
        <f t="shared" si="1216"/>
        <v>NaN</v>
      </c>
      <c r="AI769" s="135">
        <f t="shared" si="1217"/>
        <v>180</v>
      </c>
      <c r="AJ769" s="135">
        <f t="shared" si="1218"/>
        <v>60</v>
      </c>
      <c r="AK769" s="134">
        <f t="shared" si="1219"/>
        <v>1E-3</v>
      </c>
      <c r="AL769" s="135">
        <f t="shared" si="1220"/>
        <v>3</v>
      </c>
      <c r="AM769" s="135">
        <f t="shared" si="1221"/>
        <v>1500</v>
      </c>
      <c r="AN769" s="134">
        <f t="shared" si="1222"/>
        <v>0.1</v>
      </c>
      <c r="AO769" s="187">
        <f t="shared" si="1223"/>
        <v>139687</v>
      </c>
    </row>
    <row r="770" spans="1:41" x14ac:dyDescent="0.2">
      <c r="A770" s="3" t="s">
        <v>296</v>
      </c>
      <c r="B770" s="3" t="s">
        <v>296</v>
      </c>
      <c r="C770" s="55">
        <v>2508</v>
      </c>
      <c r="D770" s="87">
        <v>57.7181</v>
      </c>
      <c r="E770" s="87">
        <v>11.968299999999999</v>
      </c>
      <c r="F770" s="14">
        <v>8195</v>
      </c>
      <c r="G770" s="10">
        <v>0</v>
      </c>
      <c r="H770" s="122">
        <v>5</v>
      </c>
      <c r="I770" s="165">
        <v>-0.63300000000000001</v>
      </c>
      <c r="J770" s="11">
        <v>0.68700000000000006</v>
      </c>
      <c r="K770" s="11">
        <v>-6.3E-2</v>
      </c>
      <c r="L770" s="79">
        <v>0.14399999999999999</v>
      </c>
      <c r="M770" s="79" t="s">
        <v>282</v>
      </c>
      <c r="N770" s="79" t="s">
        <v>282</v>
      </c>
      <c r="O770" s="14">
        <v>180</v>
      </c>
      <c r="P770" s="14">
        <v>60</v>
      </c>
      <c r="Q770" s="11">
        <v>1E-3</v>
      </c>
      <c r="R770" s="14">
        <v>3</v>
      </c>
      <c r="S770" s="14">
        <v>1500</v>
      </c>
      <c r="T770" s="11">
        <v>0.1</v>
      </c>
      <c r="U770" s="122">
        <v>144555</v>
      </c>
      <c r="V770" s="21"/>
      <c r="W770" s="99">
        <f t="shared" si="1192"/>
        <v>2508</v>
      </c>
      <c r="X770" s="100">
        <f t="shared" si="1193"/>
        <v>57.7181</v>
      </c>
      <c r="Y770" s="100">
        <f t="shared" si="1194"/>
        <v>11.968299999999999</v>
      </c>
      <c r="Z770" s="22">
        <f t="shared" si="1195"/>
        <v>8195</v>
      </c>
      <c r="AA770" s="35">
        <f t="shared" si="1196"/>
        <v>0</v>
      </c>
      <c r="AB770" s="22">
        <f t="shared" si="1185"/>
        <v>5</v>
      </c>
      <c r="AC770" s="137">
        <f>ROUND(I770+mwreg!$G$84/100,3)</f>
        <v>-0.56100000000000005</v>
      </c>
      <c r="AD770" s="134">
        <f>ROUND(J770+mwreg!$G$84/100,3)</f>
        <v>0.75900000000000001</v>
      </c>
      <c r="AE770" s="134">
        <f>ROUND(K770+mwreg!$G$84/100,3)</f>
        <v>8.9999999999999993E-3</v>
      </c>
      <c r="AF770" s="132">
        <f t="shared" si="1224"/>
        <v>0.14399999999999999</v>
      </c>
      <c r="AG770" s="132" t="str">
        <f t="shared" si="1225"/>
        <v>NaN</v>
      </c>
      <c r="AH770" s="164" t="str">
        <f t="shared" si="1216"/>
        <v>NaN</v>
      </c>
      <c r="AI770" s="135">
        <f t="shared" si="1217"/>
        <v>180</v>
      </c>
      <c r="AJ770" s="135">
        <f t="shared" si="1218"/>
        <v>60</v>
      </c>
      <c r="AK770" s="134">
        <f t="shared" si="1219"/>
        <v>1E-3</v>
      </c>
      <c r="AL770" s="135">
        <f t="shared" si="1220"/>
        <v>3</v>
      </c>
      <c r="AM770" s="135">
        <f t="shared" si="1221"/>
        <v>1500</v>
      </c>
      <c r="AN770" s="134">
        <f t="shared" si="1222"/>
        <v>0.1</v>
      </c>
      <c r="AO770" s="187">
        <f t="shared" si="1223"/>
        <v>144555</v>
      </c>
    </row>
    <row r="771" spans="1:41" x14ac:dyDescent="0.2">
      <c r="A771" s="3" t="s">
        <v>296</v>
      </c>
      <c r="B771" s="3" t="s">
        <v>296</v>
      </c>
      <c r="C771" s="55">
        <v>2508</v>
      </c>
      <c r="D771" s="87">
        <v>57.7181</v>
      </c>
      <c r="E771" s="87">
        <v>11.968299999999999</v>
      </c>
      <c r="F771" s="14">
        <v>8195</v>
      </c>
      <c r="G771" s="10">
        <v>0</v>
      </c>
      <c r="H771" s="122">
        <v>6</v>
      </c>
      <c r="I771" s="165">
        <v>-0.54300000000000004</v>
      </c>
      <c r="J771" s="11">
        <v>1.147</v>
      </c>
      <c r="K771" s="11">
        <v>-6.0000000000000001E-3</v>
      </c>
      <c r="L771" s="79">
        <v>0.13780000000000001</v>
      </c>
      <c r="M771" s="79" t="s">
        <v>282</v>
      </c>
      <c r="N771" s="79" t="s">
        <v>282</v>
      </c>
      <c r="O771" s="14">
        <v>180</v>
      </c>
      <c r="P771" s="14">
        <v>60</v>
      </c>
      <c r="Q771" s="11">
        <v>1E-3</v>
      </c>
      <c r="R771" s="14">
        <v>3</v>
      </c>
      <c r="S771" s="14">
        <v>1500</v>
      </c>
      <c r="T771" s="11">
        <v>0.1</v>
      </c>
      <c r="U771" s="122">
        <v>140104</v>
      </c>
      <c r="V771" s="21"/>
      <c r="W771" s="99">
        <f t="shared" si="1192"/>
        <v>2508</v>
      </c>
      <c r="X771" s="100">
        <f t="shared" si="1193"/>
        <v>57.7181</v>
      </c>
      <c r="Y771" s="100">
        <f t="shared" si="1194"/>
        <v>11.968299999999999</v>
      </c>
      <c r="Z771" s="22">
        <f t="shared" si="1195"/>
        <v>8195</v>
      </c>
      <c r="AA771" s="35">
        <f t="shared" si="1196"/>
        <v>0</v>
      </c>
      <c r="AB771" s="22">
        <f t="shared" si="1185"/>
        <v>6</v>
      </c>
      <c r="AC771" s="137">
        <f>ROUND(I771+mwreg!$G$84/100,3)</f>
        <v>-0.47099999999999997</v>
      </c>
      <c r="AD771" s="134">
        <f>ROUND(J771+mwreg!$G$84/100,3)</f>
        <v>1.2190000000000001</v>
      </c>
      <c r="AE771" s="134">
        <f>ROUND(K771+mwreg!$G$84/100,3)</f>
        <v>6.6000000000000003E-2</v>
      </c>
      <c r="AF771" s="132">
        <f t="shared" si="1224"/>
        <v>0.13780000000000001</v>
      </c>
      <c r="AG771" s="132" t="str">
        <f t="shared" si="1225"/>
        <v>NaN</v>
      </c>
      <c r="AH771" s="164" t="str">
        <f t="shared" si="1216"/>
        <v>NaN</v>
      </c>
      <c r="AI771" s="135">
        <f t="shared" si="1217"/>
        <v>180</v>
      </c>
      <c r="AJ771" s="135">
        <f t="shared" si="1218"/>
        <v>60</v>
      </c>
      <c r="AK771" s="134">
        <f t="shared" si="1219"/>
        <v>1E-3</v>
      </c>
      <c r="AL771" s="135">
        <f t="shared" si="1220"/>
        <v>3</v>
      </c>
      <c r="AM771" s="135">
        <f t="shared" si="1221"/>
        <v>1500</v>
      </c>
      <c r="AN771" s="134">
        <f t="shared" si="1222"/>
        <v>0.1</v>
      </c>
      <c r="AO771" s="187">
        <f t="shared" si="1223"/>
        <v>140104</v>
      </c>
    </row>
    <row r="772" spans="1:41" x14ac:dyDescent="0.2">
      <c r="A772" s="3" t="s">
        <v>296</v>
      </c>
      <c r="B772" s="3" t="s">
        <v>296</v>
      </c>
      <c r="C772" s="55">
        <v>2508</v>
      </c>
      <c r="D772" s="87">
        <v>57.7181</v>
      </c>
      <c r="E772" s="87">
        <v>11.968299999999999</v>
      </c>
      <c r="F772" s="14">
        <v>8195</v>
      </c>
      <c r="G772" s="10">
        <v>0</v>
      </c>
      <c r="H772" s="122">
        <v>7</v>
      </c>
      <c r="I772" s="165">
        <v>-0.47299999999999998</v>
      </c>
      <c r="J772" s="11">
        <v>0.877</v>
      </c>
      <c r="K772" s="11">
        <v>4.8000000000000001E-2</v>
      </c>
      <c r="L772" s="79">
        <v>0.13189999999999999</v>
      </c>
      <c r="M772" s="79" t="s">
        <v>282</v>
      </c>
      <c r="N772" s="79" t="s">
        <v>282</v>
      </c>
      <c r="O772" s="14">
        <v>180</v>
      </c>
      <c r="P772" s="14">
        <v>60</v>
      </c>
      <c r="Q772" s="11">
        <v>1E-3</v>
      </c>
      <c r="R772" s="14">
        <v>3</v>
      </c>
      <c r="S772" s="14">
        <v>1500</v>
      </c>
      <c r="T772" s="11">
        <v>0.1</v>
      </c>
      <c r="U772" s="122">
        <v>147671</v>
      </c>
      <c r="V772" s="21"/>
      <c r="W772" s="99">
        <f t="shared" si="1192"/>
        <v>2508</v>
      </c>
      <c r="X772" s="100">
        <f t="shared" si="1193"/>
        <v>57.7181</v>
      </c>
      <c r="Y772" s="100">
        <f t="shared" si="1194"/>
        <v>11.968299999999999</v>
      </c>
      <c r="Z772" s="22">
        <f t="shared" si="1195"/>
        <v>8195</v>
      </c>
      <c r="AA772" s="35">
        <f t="shared" si="1196"/>
        <v>0</v>
      </c>
      <c r="AB772" s="22">
        <f t="shared" si="1185"/>
        <v>7</v>
      </c>
      <c r="AC772" s="137">
        <f>ROUND(I772+mwreg!$G$84/100,3)</f>
        <v>-0.40100000000000002</v>
      </c>
      <c r="AD772" s="134">
        <f>ROUND(J772+mwreg!$G$84/100,3)</f>
        <v>0.94899999999999995</v>
      </c>
      <c r="AE772" s="134">
        <f>ROUND(K772+mwreg!$G$84/100,3)</f>
        <v>0.12</v>
      </c>
      <c r="AF772" s="132">
        <f t="shared" si="1224"/>
        <v>0.13189999999999999</v>
      </c>
      <c r="AG772" s="132" t="str">
        <f t="shared" si="1225"/>
        <v>NaN</v>
      </c>
      <c r="AH772" s="164" t="str">
        <f t="shared" si="1216"/>
        <v>NaN</v>
      </c>
      <c r="AI772" s="135">
        <f t="shared" si="1217"/>
        <v>180</v>
      </c>
      <c r="AJ772" s="135">
        <f t="shared" si="1218"/>
        <v>60</v>
      </c>
      <c r="AK772" s="134">
        <f t="shared" si="1219"/>
        <v>1E-3</v>
      </c>
      <c r="AL772" s="135">
        <f t="shared" si="1220"/>
        <v>3</v>
      </c>
      <c r="AM772" s="135">
        <f t="shared" si="1221"/>
        <v>1500</v>
      </c>
      <c r="AN772" s="134">
        <f t="shared" si="1222"/>
        <v>0.1</v>
      </c>
      <c r="AO772" s="187">
        <f t="shared" si="1223"/>
        <v>147671</v>
      </c>
    </row>
    <row r="773" spans="1:41" x14ac:dyDescent="0.2">
      <c r="A773" s="3" t="s">
        <v>296</v>
      </c>
      <c r="B773" s="3" t="s">
        <v>296</v>
      </c>
      <c r="C773" s="55">
        <v>2508</v>
      </c>
      <c r="D773" s="87">
        <v>57.7181</v>
      </c>
      <c r="E773" s="87">
        <v>11.968299999999999</v>
      </c>
      <c r="F773" s="14">
        <v>8195</v>
      </c>
      <c r="G773" s="10">
        <v>0</v>
      </c>
      <c r="H773" s="122">
        <v>8</v>
      </c>
      <c r="I773" s="165">
        <v>-0.40899999999999997</v>
      </c>
      <c r="J773" s="11">
        <v>0.96699999999999997</v>
      </c>
      <c r="K773" s="11">
        <v>7.0999999999999994E-2</v>
      </c>
      <c r="L773" s="79">
        <v>0.1409</v>
      </c>
      <c r="M773" s="79" t="s">
        <v>282</v>
      </c>
      <c r="N773" s="79" t="s">
        <v>282</v>
      </c>
      <c r="O773" s="14">
        <v>180</v>
      </c>
      <c r="P773" s="14">
        <v>60</v>
      </c>
      <c r="Q773" s="11">
        <v>1E-3</v>
      </c>
      <c r="R773" s="14">
        <v>3</v>
      </c>
      <c r="S773" s="14">
        <v>1500</v>
      </c>
      <c r="T773" s="11">
        <v>0.1</v>
      </c>
      <c r="U773" s="122">
        <v>145302</v>
      </c>
      <c r="V773" s="21"/>
      <c r="W773" s="99">
        <f t="shared" si="1192"/>
        <v>2508</v>
      </c>
      <c r="X773" s="100">
        <f t="shared" si="1193"/>
        <v>57.7181</v>
      </c>
      <c r="Y773" s="100">
        <f t="shared" si="1194"/>
        <v>11.968299999999999</v>
      </c>
      <c r="Z773" s="22">
        <f t="shared" si="1195"/>
        <v>8195</v>
      </c>
      <c r="AA773" s="35">
        <f t="shared" si="1196"/>
        <v>0</v>
      </c>
      <c r="AB773" s="22">
        <f t="shared" si="1185"/>
        <v>8</v>
      </c>
      <c r="AC773" s="137">
        <f>ROUND(I773+mwreg!$G$84/100,3)</f>
        <v>-0.33700000000000002</v>
      </c>
      <c r="AD773" s="134">
        <f>ROUND(J773+mwreg!$G$84/100,3)</f>
        <v>1.0389999999999999</v>
      </c>
      <c r="AE773" s="134">
        <f>ROUND(K773+mwreg!$G$84/100,3)</f>
        <v>0.14299999999999999</v>
      </c>
      <c r="AF773" s="132">
        <f t="shared" si="1224"/>
        <v>0.1409</v>
      </c>
      <c r="AG773" s="132" t="str">
        <f t="shared" si="1225"/>
        <v>NaN</v>
      </c>
      <c r="AH773" s="164" t="str">
        <f t="shared" si="1216"/>
        <v>NaN</v>
      </c>
      <c r="AI773" s="135">
        <f t="shared" si="1217"/>
        <v>180</v>
      </c>
      <c r="AJ773" s="135">
        <f t="shared" si="1218"/>
        <v>60</v>
      </c>
      <c r="AK773" s="134">
        <f t="shared" si="1219"/>
        <v>1E-3</v>
      </c>
      <c r="AL773" s="135">
        <f t="shared" si="1220"/>
        <v>3</v>
      </c>
      <c r="AM773" s="135">
        <f t="shared" si="1221"/>
        <v>1500</v>
      </c>
      <c r="AN773" s="134">
        <f t="shared" si="1222"/>
        <v>0.1</v>
      </c>
      <c r="AO773" s="187">
        <f t="shared" si="1223"/>
        <v>145302</v>
      </c>
    </row>
    <row r="774" spans="1:41" x14ac:dyDescent="0.2">
      <c r="A774" s="3" t="s">
        <v>296</v>
      </c>
      <c r="B774" s="3" t="s">
        <v>296</v>
      </c>
      <c r="C774" s="55">
        <v>2508</v>
      </c>
      <c r="D774" s="87">
        <v>57.7181</v>
      </c>
      <c r="E774" s="87">
        <v>11.968299999999999</v>
      </c>
      <c r="F774" s="14">
        <v>8195</v>
      </c>
      <c r="G774" s="10">
        <v>0</v>
      </c>
      <c r="H774" s="122">
        <v>9</v>
      </c>
      <c r="I774" s="165">
        <v>-0.55800000000000005</v>
      </c>
      <c r="J774" s="11">
        <v>1.202</v>
      </c>
      <c r="K774" s="11">
        <v>9.2999999999999999E-2</v>
      </c>
      <c r="L774" s="79">
        <v>0.18759999999999999</v>
      </c>
      <c r="M774" s="79" t="s">
        <v>282</v>
      </c>
      <c r="N774" s="79" t="s">
        <v>282</v>
      </c>
      <c r="O774" s="14">
        <v>180</v>
      </c>
      <c r="P774" s="14">
        <v>60</v>
      </c>
      <c r="Q774" s="11">
        <v>1E-3</v>
      </c>
      <c r="R774" s="14">
        <v>3</v>
      </c>
      <c r="S774" s="14">
        <v>1500</v>
      </c>
      <c r="T774" s="11">
        <v>0.1</v>
      </c>
      <c r="U774" s="122">
        <v>139897</v>
      </c>
      <c r="V774" s="21"/>
      <c r="W774" s="99">
        <f t="shared" si="1192"/>
        <v>2508</v>
      </c>
      <c r="X774" s="100">
        <f t="shared" si="1193"/>
        <v>57.7181</v>
      </c>
      <c r="Y774" s="100">
        <f t="shared" si="1194"/>
        <v>11.968299999999999</v>
      </c>
      <c r="Z774" s="22">
        <f t="shared" si="1195"/>
        <v>8195</v>
      </c>
      <c r="AA774" s="35">
        <f t="shared" si="1196"/>
        <v>0</v>
      </c>
      <c r="AB774" s="22">
        <f t="shared" si="1185"/>
        <v>9</v>
      </c>
      <c r="AC774" s="137">
        <f>ROUND(I774+mwreg!$G$84/100,3)</f>
        <v>-0.48599999999999999</v>
      </c>
      <c r="AD774" s="134">
        <f>ROUND(J774+mwreg!$G$84/100,3)</f>
        <v>1.274</v>
      </c>
      <c r="AE774" s="134">
        <f>ROUND(K774+mwreg!$G$84/100,3)</f>
        <v>0.16500000000000001</v>
      </c>
      <c r="AF774" s="132">
        <f t="shared" si="1224"/>
        <v>0.18759999999999999</v>
      </c>
      <c r="AG774" s="132" t="str">
        <f t="shared" si="1225"/>
        <v>NaN</v>
      </c>
      <c r="AH774" s="164" t="str">
        <f t="shared" si="1216"/>
        <v>NaN</v>
      </c>
      <c r="AI774" s="135">
        <f t="shared" si="1217"/>
        <v>180</v>
      </c>
      <c r="AJ774" s="135">
        <f t="shared" si="1218"/>
        <v>60</v>
      </c>
      <c r="AK774" s="134">
        <f t="shared" si="1219"/>
        <v>1E-3</v>
      </c>
      <c r="AL774" s="135">
        <f t="shared" si="1220"/>
        <v>3</v>
      </c>
      <c r="AM774" s="135">
        <f t="shared" si="1221"/>
        <v>1500</v>
      </c>
      <c r="AN774" s="134">
        <f t="shared" si="1222"/>
        <v>0.1</v>
      </c>
      <c r="AO774" s="187">
        <f t="shared" si="1223"/>
        <v>139897</v>
      </c>
    </row>
    <row r="775" spans="1:41" x14ac:dyDescent="0.2">
      <c r="A775" s="3" t="s">
        <v>296</v>
      </c>
      <c r="B775" s="3" t="s">
        <v>296</v>
      </c>
      <c r="C775" s="55">
        <v>2508</v>
      </c>
      <c r="D775" s="87">
        <v>57.7181</v>
      </c>
      <c r="E775" s="87">
        <v>11.968299999999999</v>
      </c>
      <c r="F775" s="14">
        <v>8195</v>
      </c>
      <c r="G775" s="10">
        <v>0</v>
      </c>
      <c r="H775" s="122">
        <v>10</v>
      </c>
      <c r="I775" s="165">
        <v>-0.71299999999999997</v>
      </c>
      <c r="J775" s="11">
        <v>1.214</v>
      </c>
      <c r="K775" s="11">
        <v>8.5999999999999993E-2</v>
      </c>
      <c r="L775" s="79">
        <v>0.2142</v>
      </c>
      <c r="M775" s="79" t="s">
        <v>282</v>
      </c>
      <c r="N775" s="79" t="s">
        <v>282</v>
      </c>
      <c r="O775" s="14">
        <v>180</v>
      </c>
      <c r="P775" s="14">
        <v>60</v>
      </c>
      <c r="Q775" s="11">
        <v>1E-3</v>
      </c>
      <c r="R775" s="14">
        <v>3</v>
      </c>
      <c r="S775" s="14">
        <v>1500</v>
      </c>
      <c r="T775" s="11">
        <v>0.1</v>
      </c>
      <c r="U775" s="122">
        <v>143993</v>
      </c>
      <c r="V775" s="21"/>
      <c r="W775" s="99">
        <f t="shared" si="1192"/>
        <v>2508</v>
      </c>
      <c r="X775" s="100">
        <f t="shared" si="1193"/>
        <v>57.7181</v>
      </c>
      <c r="Y775" s="100">
        <f t="shared" si="1194"/>
        <v>11.968299999999999</v>
      </c>
      <c r="Z775" s="22">
        <f t="shared" si="1195"/>
        <v>8195</v>
      </c>
      <c r="AA775" s="35">
        <f t="shared" si="1196"/>
        <v>0</v>
      </c>
      <c r="AB775" s="22">
        <f t="shared" si="1185"/>
        <v>10</v>
      </c>
      <c r="AC775" s="137">
        <f>ROUND(I775+mwreg!$G$84/100,3)</f>
        <v>-0.64100000000000001</v>
      </c>
      <c r="AD775" s="134">
        <f>ROUND(J775+mwreg!$G$84/100,3)</f>
        <v>1.286</v>
      </c>
      <c r="AE775" s="134">
        <f>ROUND(K775+mwreg!$G$84/100,3)</f>
        <v>0.158</v>
      </c>
      <c r="AF775" s="132">
        <f t="shared" si="1224"/>
        <v>0.2142</v>
      </c>
      <c r="AG775" s="132" t="str">
        <f t="shared" si="1225"/>
        <v>NaN</v>
      </c>
      <c r="AH775" s="164" t="str">
        <f t="shared" si="1216"/>
        <v>NaN</v>
      </c>
      <c r="AI775" s="135">
        <f t="shared" si="1217"/>
        <v>180</v>
      </c>
      <c r="AJ775" s="135">
        <f t="shared" si="1218"/>
        <v>60</v>
      </c>
      <c r="AK775" s="134">
        <f t="shared" si="1219"/>
        <v>1E-3</v>
      </c>
      <c r="AL775" s="135">
        <f t="shared" si="1220"/>
        <v>3</v>
      </c>
      <c r="AM775" s="135">
        <f t="shared" si="1221"/>
        <v>1500</v>
      </c>
      <c r="AN775" s="134">
        <f t="shared" si="1222"/>
        <v>0.1</v>
      </c>
      <c r="AO775" s="187">
        <f t="shared" si="1223"/>
        <v>143993</v>
      </c>
    </row>
    <row r="776" spans="1:41" x14ac:dyDescent="0.2">
      <c r="A776" s="3" t="s">
        <v>296</v>
      </c>
      <c r="B776" s="3" t="s">
        <v>296</v>
      </c>
      <c r="C776" s="55">
        <v>2508</v>
      </c>
      <c r="D776" s="87">
        <v>57.7181</v>
      </c>
      <c r="E776" s="87">
        <v>11.968299999999999</v>
      </c>
      <c r="F776" s="14">
        <v>8195</v>
      </c>
      <c r="G776" s="10">
        <v>0</v>
      </c>
      <c r="H776" s="122">
        <v>11</v>
      </c>
      <c r="I776" s="165">
        <v>-0.89300000000000002</v>
      </c>
      <c r="J776" s="11">
        <v>1.5009999999999999</v>
      </c>
      <c r="K776" s="11">
        <v>0.111</v>
      </c>
      <c r="L776" s="79">
        <v>0.2286</v>
      </c>
      <c r="M776" s="79" t="s">
        <v>282</v>
      </c>
      <c r="N776" s="79" t="s">
        <v>282</v>
      </c>
      <c r="O776" s="14">
        <v>180</v>
      </c>
      <c r="P776" s="14">
        <v>60</v>
      </c>
      <c r="Q776" s="11">
        <v>1E-3</v>
      </c>
      <c r="R776" s="14">
        <v>3</v>
      </c>
      <c r="S776" s="14">
        <v>1500</v>
      </c>
      <c r="T776" s="11">
        <v>0.1</v>
      </c>
      <c r="U776" s="122">
        <v>139854</v>
      </c>
      <c r="V776" s="21"/>
      <c r="W776" s="99">
        <f t="shared" si="1192"/>
        <v>2508</v>
      </c>
      <c r="X776" s="100">
        <f t="shared" si="1193"/>
        <v>57.7181</v>
      </c>
      <c r="Y776" s="100">
        <f t="shared" si="1194"/>
        <v>11.968299999999999</v>
      </c>
      <c r="Z776" s="22">
        <f t="shared" si="1195"/>
        <v>8195</v>
      </c>
      <c r="AA776" s="35">
        <f t="shared" si="1196"/>
        <v>0</v>
      </c>
      <c r="AB776" s="22">
        <f t="shared" si="1185"/>
        <v>11</v>
      </c>
      <c r="AC776" s="137">
        <f>ROUND(I776+mwreg!$G$84/100,3)</f>
        <v>-0.82099999999999995</v>
      </c>
      <c r="AD776" s="134">
        <f>ROUND(J776+mwreg!$G$84/100,3)</f>
        <v>1.573</v>
      </c>
      <c r="AE776" s="134">
        <f>ROUND(K776+mwreg!$G$84/100,3)</f>
        <v>0.183</v>
      </c>
      <c r="AF776" s="132">
        <f t="shared" si="1224"/>
        <v>0.2286</v>
      </c>
      <c r="AG776" s="132" t="str">
        <f t="shared" si="1225"/>
        <v>NaN</v>
      </c>
      <c r="AH776" s="164" t="str">
        <f t="shared" si="1216"/>
        <v>NaN</v>
      </c>
      <c r="AI776" s="135">
        <f t="shared" si="1217"/>
        <v>180</v>
      </c>
      <c r="AJ776" s="135">
        <f t="shared" si="1218"/>
        <v>60</v>
      </c>
      <c r="AK776" s="134">
        <f t="shared" si="1219"/>
        <v>1E-3</v>
      </c>
      <c r="AL776" s="135">
        <f t="shared" si="1220"/>
        <v>3</v>
      </c>
      <c r="AM776" s="135">
        <f t="shared" si="1221"/>
        <v>1500</v>
      </c>
      <c r="AN776" s="134">
        <f t="shared" si="1222"/>
        <v>0.1</v>
      </c>
      <c r="AO776" s="187">
        <f t="shared" si="1223"/>
        <v>139854</v>
      </c>
    </row>
    <row r="777" spans="1:41" x14ac:dyDescent="0.2">
      <c r="A777" s="3" t="s">
        <v>296</v>
      </c>
      <c r="B777" s="3" t="s">
        <v>296</v>
      </c>
      <c r="C777" s="55">
        <v>2508</v>
      </c>
      <c r="D777" s="87">
        <v>57.7181</v>
      </c>
      <c r="E777" s="87">
        <v>11.968299999999999</v>
      </c>
      <c r="F777" s="14">
        <v>8195</v>
      </c>
      <c r="G777" s="10">
        <v>0</v>
      </c>
      <c r="H777" s="122">
        <v>12</v>
      </c>
      <c r="I777" s="165">
        <v>-0.91800000000000004</v>
      </c>
      <c r="J777" s="11">
        <v>1.661</v>
      </c>
      <c r="K777" s="11">
        <v>0.09</v>
      </c>
      <c r="L777" s="79">
        <v>0.2676</v>
      </c>
      <c r="M777" s="79" t="s">
        <v>282</v>
      </c>
      <c r="N777" s="79" t="s">
        <v>282</v>
      </c>
      <c r="O777" s="14">
        <v>180</v>
      </c>
      <c r="P777" s="14">
        <v>60</v>
      </c>
      <c r="Q777" s="11">
        <v>1E-3</v>
      </c>
      <c r="R777" s="14">
        <v>3</v>
      </c>
      <c r="S777" s="14">
        <v>1500</v>
      </c>
      <c r="T777" s="11">
        <v>0.1</v>
      </c>
      <c r="U777" s="122">
        <v>170972</v>
      </c>
      <c r="V777" s="21"/>
      <c r="W777" s="99">
        <f t="shared" si="1192"/>
        <v>2508</v>
      </c>
      <c r="X777" s="100">
        <f t="shared" si="1193"/>
        <v>57.7181</v>
      </c>
      <c r="Y777" s="100">
        <f t="shared" si="1194"/>
        <v>11.968299999999999</v>
      </c>
      <c r="Z777" s="22">
        <f t="shared" si="1195"/>
        <v>8195</v>
      </c>
      <c r="AA777" s="35">
        <f t="shared" si="1196"/>
        <v>0</v>
      </c>
      <c r="AB777" s="22">
        <f t="shared" si="1185"/>
        <v>12</v>
      </c>
      <c r="AC777" s="137">
        <f>ROUND(I777+mwreg!$G$84/100,3)</f>
        <v>-0.84599999999999997</v>
      </c>
      <c r="AD777" s="134">
        <f>ROUND(J777+mwreg!$G$84/100,3)</f>
        <v>1.7330000000000001</v>
      </c>
      <c r="AE777" s="134">
        <f>ROUND(K777+mwreg!$G$84/100,3)</f>
        <v>0.16200000000000001</v>
      </c>
      <c r="AF777" s="132">
        <f t="shared" si="1224"/>
        <v>0.2676</v>
      </c>
      <c r="AG777" s="132" t="str">
        <f t="shared" si="1225"/>
        <v>NaN</v>
      </c>
      <c r="AH777" s="164" t="str">
        <f t="shared" si="1216"/>
        <v>NaN</v>
      </c>
      <c r="AI777" s="135">
        <f t="shared" si="1217"/>
        <v>180</v>
      </c>
      <c r="AJ777" s="135">
        <f t="shared" si="1218"/>
        <v>60</v>
      </c>
      <c r="AK777" s="134">
        <f t="shared" si="1219"/>
        <v>1E-3</v>
      </c>
      <c r="AL777" s="135">
        <f t="shared" si="1220"/>
        <v>3</v>
      </c>
      <c r="AM777" s="135">
        <f t="shared" si="1221"/>
        <v>1500</v>
      </c>
      <c r="AN777" s="134">
        <f t="shared" si="1222"/>
        <v>0.1</v>
      </c>
      <c r="AO777" s="187">
        <f t="shared" si="1223"/>
        <v>170972</v>
      </c>
    </row>
    <row r="778" spans="1:41" x14ac:dyDescent="0.2">
      <c r="A778" s="3">
        <f>stat_uppg!A75</f>
        <v>33093</v>
      </c>
      <c r="B778" s="3" t="str">
        <f>stat_uppg!B75</f>
        <v>GÖTEBORG-TINGSTADSTUNNELN (GBG)</v>
      </c>
      <c r="C778" s="52">
        <v>33093</v>
      </c>
      <c r="D778" s="160">
        <v>57.723100000000002</v>
      </c>
      <c r="E778" s="105">
        <v>11.9869</v>
      </c>
      <c r="F778" s="20">
        <v>8195</v>
      </c>
      <c r="G778" s="18">
        <v>0</v>
      </c>
      <c r="H778" s="53">
        <v>1</v>
      </c>
      <c r="I778" s="167">
        <f>ROUND(0.96*I766+0.04*I802,3)</f>
        <v>-1.1120000000000001</v>
      </c>
      <c r="J778" s="104">
        <f t="shared" ref="J778:K778" si="1226">ROUND(0.96*J766+0.04*J802,3)</f>
        <v>1.496</v>
      </c>
      <c r="K778" s="104">
        <f t="shared" si="1226"/>
        <v>7.2999999999999995E-2</v>
      </c>
      <c r="L778" s="105">
        <f t="shared" ref="L778:L789" si="1227">ROUND(0.96*L766+0.04*L802,4)</f>
        <v>0.27139999999999997</v>
      </c>
      <c r="M778" s="105" t="s">
        <v>282</v>
      </c>
      <c r="N778" s="105" t="s">
        <v>282</v>
      </c>
      <c r="O778" s="20">
        <f t="shared" ref="O778:S778" si="1228">ROUND(0.96*O766+0.04*O802,0)</f>
        <v>180</v>
      </c>
      <c r="P778" s="20">
        <f t="shared" si="1228"/>
        <v>60</v>
      </c>
      <c r="Q778" s="104">
        <f>ROUND(0.96*Q766+0.04*Q802,3)</f>
        <v>1E-3</v>
      </c>
      <c r="R778" s="20">
        <f t="shared" si="1228"/>
        <v>3</v>
      </c>
      <c r="S778" s="20">
        <f t="shared" si="1228"/>
        <v>1500</v>
      </c>
      <c r="T778" s="104">
        <f>ROUND(T718,3)</f>
        <v>0.1</v>
      </c>
      <c r="U778" s="123" t="s">
        <v>282</v>
      </c>
      <c r="V778" s="21"/>
      <c r="W778" s="58">
        <f t="shared" si="1192"/>
        <v>33093</v>
      </c>
      <c r="X778" s="102">
        <f t="shared" si="1193"/>
        <v>57.723100000000002</v>
      </c>
      <c r="Y778" s="102">
        <f t="shared" si="1194"/>
        <v>11.9869</v>
      </c>
      <c r="Z778" s="21">
        <f t="shared" si="1195"/>
        <v>8195</v>
      </c>
      <c r="AA778" s="44">
        <f t="shared" si="1196"/>
        <v>0</v>
      </c>
      <c r="AB778" s="21">
        <f t="shared" si="1185"/>
        <v>1</v>
      </c>
      <c r="AC778" s="119">
        <f>ROUND(I778+mwreg!$G$85/100,3)</f>
        <v>-1.0369999999999999</v>
      </c>
      <c r="AD778" s="108">
        <f>ROUND(J778+mwreg!$G$85/100,3)</f>
        <v>1.571</v>
      </c>
      <c r="AE778" s="108">
        <f>ROUND(K778+mwreg!$G$85/100,3)</f>
        <v>0.14799999999999999</v>
      </c>
      <c r="AF778" s="102">
        <f>L778</f>
        <v>0.27139999999999997</v>
      </c>
      <c r="AG778" s="102" t="str">
        <f>M778</f>
        <v>NaN</v>
      </c>
      <c r="AH778" s="109" t="str">
        <f t="shared" ref="AH778:AH814" si="1229">N778</f>
        <v>NaN</v>
      </c>
      <c r="AI778" s="110">
        <f t="shared" ref="AI778:AI814" si="1230">O778</f>
        <v>180</v>
      </c>
      <c r="AJ778" s="110">
        <f t="shared" ref="AJ778:AJ814" si="1231">P778</f>
        <v>60</v>
      </c>
      <c r="AK778" s="108">
        <f t="shared" ref="AK778:AK814" si="1232">Q778</f>
        <v>1E-3</v>
      </c>
      <c r="AL778" s="110">
        <f t="shared" ref="AL778:AL814" si="1233">R778</f>
        <v>3</v>
      </c>
      <c r="AM778" s="110">
        <f t="shared" ref="AM778:AM814" si="1234">S778</f>
        <v>1500</v>
      </c>
      <c r="AN778" s="108">
        <f t="shared" ref="AN778:AN814" si="1235">T778</f>
        <v>0.1</v>
      </c>
      <c r="AO778" s="186" t="str">
        <f t="shared" ref="AO778:AO814" si="1236">U778</f>
        <v>NaN</v>
      </c>
    </row>
    <row r="779" spans="1:41" x14ac:dyDescent="0.2">
      <c r="A779" s="3" t="s">
        <v>296</v>
      </c>
      <c r="B779" s="3" t="s">
        <v>296</v>
      </c>
      <c r="C779" s="52">
        <v>33093</v>
      </c>
      <c r="D779" s="160">
        <v>57.723100000000002</v>
      </c>
      <c r="E779" s="105">
        <v>11.9869</v>
      </c>
      <c r="F779" s="20">
        <v>8195</v>
      </c>
      <c r="G779" s="18">
        <v>0</v>
      </c>
      <c r="H779" s="53">
        <v>2</v>
      </c>
      <c r="I779" s="167">
        <f t="shared" ref="I779:K779" si="1237">ROUND(0.96*I767+0.04*I803,3)</f>
        <v>-0.96899999999999997</v>
      </c>
      <c r="J779" s="104">
        <f t="shared" si="1237"/>
        <v>1.361</v>
      </c>
      <c r="K779" s="104">
        <f t="shared" si="1237"/>
        <v>-2.3E-2</v>
      </c>
      <c r="L779" s="105">
        <f t="shared" si="1227"/>
        <v>0.24129999999999999</v>
      </c>
      <c r="M779" s="105" t="s">
        <v>282</v>
      </c>
      <c r="N779" s="105" t="s">
        <v>282</v>
      </c>
      <c r="O779" s="20">
        <f t="shared" ref="O779:P779" si="1238">ROUND(0.96*O767+0.04*O803,0)</f>
        <v>180</v>
      </c>
      <c r="P779" s="20">
        <f t="shared" si="1238"/>
        <v>60</v>
      </c>
      <c r="Q779" s="104">
        <f t="shared" ref="Q779:Q789" si="1239">ROUND(0.96*Q767+0.04*Q803,3)</f>
        <v>1E-3</v>
      </c>
      <c r="R779" s="20">
        <f t="shared" ref="R779:S779" si="1240">ROUND(0.96*R767+0.04*R803,0)</f>
        <v>3</v>
      </c>
      <c r="S779" s="20">
        <f t="shared" si="1240"/>
        <v>1500</v>
      </c>
      <c r="T779" s="104">
        <f t="shared" ref="T779:T789" si="1241">ROUND(T719,3)</f>
        <v>0.1</v>
      </c>
      <c r="U779" s="123" t="s">
        <v>282</v>
      </c>
      <c r="V779" s="21"/>
      <c r="W779" s="58">
        <f t="shared" ref="W779:W780" si="1242">C779</f>
        <v>33093</v>
      </c>
      <c r="X779" s="102">
        <f t="shared" ref="X779:X780" si="1243">D779</f>
        <v>57.723100000000002</v>
      </c>
      <c r="Y779" s="102">
        <f t="shared" ref="Y779:Y780" si="1244">E779</f>
        <v>11.9869</v>
      </c>
      <c r="Z779" s="21">
        <f t="shared" ref="Z779:Z780" si="1245">F779</f>
        <v>8195</v>
      </c>
      <c r="AA779" s="44">
        <f t="shared" ref="AA779:AA780" si="1246">G779</f>
        <v>0</v>
      </c>
      <c r="AB779" s="21">
        <f t="shared" ref="AB779:AB780" si="1247">H779</f>
        <v>2</v>
      </c>
      <c r="AC779" s="119">
        <f>ROUND(I779+mwreg!$G$85/100,3)</f>
        <v>-0.89400000000000002</v>
      </c>
      <c r="AD779" s="108">
        <f>ROUND(J779+mwreg!$G$85/100,3)</f>
        <v>1.4359999999999999</v>
      </c>
      <c r="AE779" s="108">
        <f>ROUND(K779+mwreg!$G$85/100,3)</f>
        <v>5.1999999999999998E-2</v>
      </c>
      <c r="AF779" s="102">
        <f t="shared" ref="AF779:AF789" si="1248">L779</f>
        <v>0.24129999999999999</v>
      </c>
      <c r="AG779" s="102" t="str">
        <f t="shared" ref="AG779:AG825" si="1249">M779</f>
        <v>NaN</v>
      </c>
      <c r="AH779" s="109" t="str">
        <f t="shared" si="1229"/>
        <v>NaN</v>
      </c>
      <c r="AI779" s="110">
        <f t="shared" si="1230"/>
        <v>180</v>
      </c>
      <c r="AJ779" s="110">
        <f t="shared" si="1231"/>
        <v>60</v>
      </c>
      <c r="AK779" s="108">
        <f t="shared" si="1232"/>
        <v>1E-3</v>
      </c>
      <c r="AL779" s="110">
        <f t="shared" si="1233"/>
        <v>3</v>
      </c>
      <c r="AM779" s="110">
        <f t="shared" si="1234"/>
        <v>1500</v>
      </c>
      <c r="AN779" s="108">
        <f t="shared" si="1235"/>
        <v>0.1</v>
      </c>
      <c r="AO779" s="186" t="str">
        <f t="shared" si="1236"/>
        <v>NaN</v>
      </c>
    </row>
    <row r="780" spans="1:41" x14ac:dyDescent="0.2">
      <c r="A780" s="3" t="s">
        <v>296</v>
      </c>
      <c r="B780" s="3" t="s">
        <v>296</v>
      </c>
      <c r="C780" s="52">
        <v>33093</v>
      </c>
      <c r="D780" s="160">
        <v>57.723100000000002</v>
      </c>
      <c r="E780" s="105">
        <v>11.9869</v>
      </c>
      <c r="F780" s="20">
        <v>8195</v>
      </c>
      <c r="G780" s="18">
        <v>0</v>
      </c>
      <c r="H780" s="53">
        <v>3</v>
      </c>
      <c r="I780" s="167">
        <f t="shared" ref="I780:K780" si="1250">ROUND(0.96*I768+0.04*I804,3)</f>
        <v>-0.85299999999999998</v>
      </c>
      <c r="J780" s="104">
        <f t="shared" si="1250"/>
        <v>1.27</v>
      </c>
      <c r="K780" s="104">
        <f t="shared" si="1250"/>
        <v>-5.5E-2</v>
      </c>
      <c r="L780" s="105">
        <f t="shared" si="1227"/>
        <v>0.2253</v>
      </c>
      <c r="M780" s="105" t="s">
        <v>282</v>
      </c>
      <c r="N780" s="105" t="s">
        <v>282</v>
      </c>
      <c r="O780" s="20">
        <f t="shared" ref="O780:P780" si="1251">ROUND(0.96*O768+0.04*O804,0)</f>
        <v>180</v>
      </c>
      <c r="P780" s="20">
        <f t="shared" si="1251"/>
        <v>60</v>
      </c>
      <c r="Q780" s="104">
        <f t="shared" si="1239"/>
        <v>1E-3</v>
      </c>
      <c r="R780" s="20">
        <f t="shared" ref="R780:S780" si="1252">ROUND(0.96*R768+0.04*R804,0)</f>
        <v>3</v>
      </c>
      <c r="S780" s="20">
        <f t="shared" si="1252"/>
        <v>1500</v>
      </c>
      <c r="T780" s="104">
        <f t="shared" si="1241"/>
        <v>0.1</v>
      </c>
      <c r="U780" s="123" t="s">
        <v>282</v>
      </c>
      <c r="V780" s="21"/>
      <c r="W780" s="58">
        <f t="shared" si="1242"/>
        <v>33093</v>
      </c>
      <c r="X780" s="102">
        <f t="shared" si="1243"/>
        <v>57.723100000000002</v>
      </c>
      <c r="Y780" s="102">
        <f t="shared" si="1244"/>
        <v>11.9869</v>
      </c>
      <c r="Z780" s="21">
        <f t="shared" si="1245"/>
        <v>8195</v>
      </c>
      <c r="AA780" s="44">
        <f t="shared" si="1246"/>
        <v>0</v>
      </c>
      <c r="AB780" s="21">
        <f t="shared" si="1247"/>
        <v>3</v>
      </c>
      <c r="AC780" s="119">
        <f>ROUND(I780+mwreg!$G$85/100,3)</f>
        <v>-0.77800000000000002</v>
      </c>
      <c r="AD780" s="108">
        <f>ROUND(J780+mwreg!$G$85/100,3)</f>
        <v>1.345</v>
      </c>
      <c r="AE780" s="108">
        <f>ROUND(K780+mwreg!$G$85/100,3)</f>
        <v>0.02</v>
      </c>
      <c r="AF780" s="102">
        <f t="shared" si="1248"/>
        <v>0.2253</v>
      </c>
      <c r="AG780" s="102" t="str">
        <f t="shared" si="1249"/>
        <v>NaN</v>
      </c>
      <c r="AH780" s="109" t="str">
        <f t="shared" si="1229"/>
        <v>NaN</v>
      </c>
      <c r="AI780" s="110">
        <f t="shared" si="1230"/>
        <v>180</v>
      </c>
      <c r="AJ780" s="110">
        <f t="shared" si="1231"/>
        <v>60</v>
      </c>
      <c r="AK780" s="108">
        <f t="shared" si="1232"/>
        <v>1E-3</v>
      </c>
      <c r="AL780" s="110">
        <f t="shared" si="1233"/>
        <v>3</v>
      </c>
      <c r="AM780" s="110">
        <f t="shared" si="1234"/>
        <v>1500</v>
      </c>
      <c r="AN780" s="108">
        <f t="shared" si="1235"/>
        <v>0.1</v>
      </c>
      <c r="AO780" s="186" t="str">
        <f t="shared" si="1236"/>
        <v>NaN</v>
      </c>
    </row>
    <row r="781" spans="1:41" x14ac:dyDescent="0.2">
      <c r="A781" s="3" t="s">
        <v>296</v>
      </c>
      <c r="B781" s="3" t="s">
        <v>296</v>
      </c>
      <c r="C781" s="52">
        <v>33093</v>
      </c>
      <c r="D781" s="160">
        <v>57.723100000000002</v>
      </c>
      <c r="E781" s="105">
        <v>11.9869</v>
      </c>
      <c r="F781" s="20">
        <v>8195</v>
      </c>
      <c r="G781" s="18">
        <v>0</v>
      </c>
      <c r="H781" s="53">
        <v>4</v>
      </c>
      <c r="I781" s="167">
        <f t="shared" ref="I781:K781" si="1253">ROUND(0.96*I769+0.04*I805,3)</f>
        <v>-1.038</v>
      </c>
      <c r="J781" s="104">
        <f t="shared" si="1253"/>
        <v>0.85199999999999998</v>
      </c>
      <c r="K781" s="104">
        <f t="shared" si="1253"/>
        <v>-8.4000000000000005E-2</v>
      </c>
      <c r="L781" s="105">
        <f t="shared" si="1227"/>
        <v>0.15679999999999999</v>
      </c>
      <c r="M781" s="105" t="s">
        <v>282</v>
      </c>
      <c r="N781" s="105" t="s">
        <v>282</v>
      </c>
      <c r="O781" s="20">
        <f t="shared" ref="O781:P781" si="1254">ROUND(0.96*O769+0.04*O805,0)</f>
        <v>180</v>
      </c>
      <c r="P781" s="20">
        <f t="shared" si="1254"/>
        <v>60</v>
      </c>
      <c r="Q781" s="104">
        <f t="shared" si="1239"/>
        <v>1E-3</v>
      </c>
      <c r="R781" s="20">
        <f t="shared" ref="R781:S781" si="1255">ROUND(0.96*R769+0.04*R805,0)</f>
        <v>3</v>
      </c>
      <c r="S781" s="20">
        <f t="shared" si="1255"/>
        <v>1500</v>
      </c>
      <c r="T781" s="104">
        <f t="shared" si="1241"/>
        <v>0.1</v>
      </c>
      <c r="U781" s="123" t="s">
        <v>282</v>
      </c>
      <c r="V781" s="21"/>
      <c r="W781" s="58">
        <f t="shared" ref="W781:W813" si="1256">C781</f>
        <v>33093</v>
      </c>
      <c r="X781" s="102">
        <f t="shared" ref="X781:X813" si="1257">D781</f>
        <v>57.723100000000002</v>
      </c>
      <c r="Y781" s="102">
        <f t="shared" ref="Y781:Y813" si="1258">E781</f>
        <v>11.9869</v>
      </c>
      <c r="Z781" s="21">
        <f t="shared" ref="Z781:Z813" si="1259">F781</f>
        <v>8195</v>
      </c>
      <c r="AA781" s="44">
        <f t="shared" ref="AA781:AA813" si="1260">G781</f>
        <v>0</v>
      </c>
      <c r="AB781" s="21">
        <f t="shared" ref="AB781:AB813" si="1261">H781</f>
        <v>4</v>
      </c>
      <c r="AC781" s="119">
        <f>ROUND(I781+mwreg!$G$85/100,3)</f>
        <v>-0.96299999999999997</v>
      </c>
      <c r="AD781" s="108">
        <f>ROUND(J781+mwreg!$G$85/100,3)</f>
        <v>0.92700000000000005</v>
      </c>
      <c r="AE781" s="108">
        <f>ROUND(K781+mwreg!$G$85/100,3)</f>
        <v>-8.9999999999999993E-3</v>
      </c>
      <c r="AF781" s="102">
        <f t="shared" si="1248"/>
        <v>0.15679999999999999</v>
      </c>
      <c r="AG781" s="102" t="str">
        <f t="shared" si="1249"/>
        <v>NaN</v>
      </c>
      <c r="AH781" s="109" t="str">
        <f t="shared" si="1229"/>
        <v>NaN</v>
      </c>
      <c r="AI781" s="110">
        <f t="shared" si="1230"/>
        <v>180</v>
      </c>
      <c r="AJ781" s="110">
        <f t="shared" si="1231"/>
        <v>60</v>
      </c>
      <c r="AK781" s="108">
        <f t="shared" si="1232"/>
        <v>1E-3</v>
      </c>
      <c r="AL781" s="110">
        <f t="shared" si="1233"/>
        <v>3</v>
      </c>
      <c r="AM781" s="110">
        <f t="shared" si="1234"/>
        <v>1500</v>
      </c>
      <c r="AN781" s="108">
        <f t="shared" si="1235"/>
        <v>0.1</v>
      </c>
      <c r="AO781" s="186" t="str">
        <f t="shared" si="1236"/>
        <v>NaN</v>
      </c>
    </row>
    <row r="782" spans="1:41" x14ac:dyDescent="0.2">
      <c r="A782" s="3" t="s">
        <v>296</v>
      </c>
      <c r="B782" s="3" t="s">
        <v>296</v>
      </c>
      <c r="C782" s="52">
        <v>33093</v>
      </c>
      <c r="D782" s="160">
        <v>57.723100000000002</v>
      </c>
      <c r="E782" s="105">
        <v>11.9869</v>
      </c>
      <c r="F782" s="20">
        <v>8195</v>
      </c>
      <c r="G782" s="18">
        <v>0</v>
      </c>
      <c r="H782" s="53">
        <v>5</v>
      </c>
      <c r="I782" s="167">
        <f t="shared" ref="I782:K782" si="1262">ROUND(0.96*I770+0.04*I806,3)</f>
        <v>-0.63</v>
      </c>
      <c r="J782" s="104">
        <f t="shared" si="1262"/>
        <v>0.69</v>
      </c>
      <c r="K782" s="104">
        <f t="shared" si="1262"/>
        <v>-0.06</v>
      </c>
      <c r="L782" s="105">
        <f t="shared" si="1227"/>
        <v>0.14399999999999999</v>
      </c>
      <c r="M782" s="105" t="s">
        <v>282</v>
      </c>
      <c r="N782" s="105" t="s">
        <v>282</v>
      </c>
      <c r="O782" s="20">
        <f t="shared" ref="O782:P782" si="1263">ROUND(0.96*O770+0.04*O806,0)</f>
        <v>180</v>
      </c>
      <c r="P782" s="20">
        <f t="shared" si="1263"/>
        <v>60</v>
      </c>
      <c r="Q782" s="104">
        <f t="shared" si="1239"/>
        <v>1E-3</v>
      </c>
      <c r="R782" s="20">
        <f t="shared" ref="R782:S782" si="1264">ROUND(0.96*R770+0.04*R806,0)</f>
        <v>3</v>
      </c>
      <c r="S782" s="20">
        <f t="shared" si="1264"/>
        <v>1500</v>
      </c>
      <c r="T782" s="104">
        <f t="shared" si="1241"/>
        <v>0.1</v>
      </c>
      <c r="U782" s="123" t="s">
        <v>282</v>
      </c>
      <c r="V782" s="21"/>
      <c r="W782" s="58">
        <f t="shared" si="1256"/>
        <v>33093</v>
      </c>
      <c r="X782" s="102">
        <f t="shared" si="1257"/>
        <v>57.723100000000002</v>
      </c>
      <c r="Y782" s="102">
        <f t="shared" si="1258"/>
        <v>11.9869</v>
      </c>
      <c r="Z782" s="21">
        <f t="shared" si="1259"/>
        <v>8195</v>
      </c>
      <c r="AA782" s="44">
        <f t="shared" si="1260"/>
        <v>0</v>
      </c>
      <c r="AB782" s="21">
        <f t="shared" si="1261"/>
        <v>5</v>
      </c>
      <c r="AC782" s="119">
        <f>ROUND(I782+mwreg!$G$85/100,3)</f>
        <v>-0.55500000000000005</v>
      </c>
      <c r="AD782" s="108">
        <f>ROUND(J782+mwreg!$G$85/100,3)</f>
        <v>0.76500000000000001</v>
      </c>
      <c r="AE782" s="108">
        <f>ROUND(K782+mwreg!$G$85/100,3)</f>
        <v>1.4999999999999999E-2</v>
      </c>
      <c r="AF782" s="102">
        <f t="shared" si="1248"/>
        <v>0.14399999999999999</v>
      </c>
      <c r="AG782" s="102" t="str">
        <f t="shared" si="1249"/>
        <v>NaN</v>
      </c>
      <c r="AH782" s="109" t="str">
        <f t="shared" si="1229"/>
        <v>NaN</v>
      </c>
      <c r="AI782" s="110">
        <f t="shared" si="1230"/>
        <v>180</v>
      </c>
      <c r="AJ782" s="110">
        <f t="shared" si="1231"/>
        <v>60</v>
      </c>
      <c r="AK782" s="108">
        <f t="shared" si="1232"/>
        <v>1E-3</v>
      </c>
      <c r="AL782" s="110">
        <f t="shared" si="1233"/>
        <v>3</v>
      </c>
      <c r="AM782" s="110">
        <f t="shared" si="1234"/>
        <v>1500</v>
      </c>
      <c r="AN782" s="108">
        <f t="shared" si="1235"/>
        <v>0.1</v>
      </c>
      <c r="AO782" s="186" t="str">
        <f t="shared" si="1236"/>
        <v>NaN</v>
      </c>
    </row>
    <row r="783" spans="1:41" x14ac:dyDescent="0.2">
      <c r="A783" s="3" t="s">
        <v>296</v>
      </c>
      <c r="B783" s="3" t="s">
        <v>296</v>
      </c>
      <c r="C783" s="52">
        <v>33093</v>
      </c>
      <c r="D783" s="160">
        <v>57.723100000000002</v>
      </c>
      <c r="E783" s="105">
        <v>11.9869</v>
      </c>
      <c r="F783" s="20">
        <v>8195</v>
      </c>
      <c r="G783" s="18">
        <v>0</v>
      </c>
      <c r="H783" s="53">
        <v>6</v>
      </c>
      <c r="I783" s="167">
        <f t="shared" ref="I783:K783" si="1265">ROUND(0.96*I771+0.04*I807,3)</f>
        <v>-0.54</v>
      </c>
      <c r="J783" s="104">
        <f t="shared" si="1265"/>
        <v>1.1499999999999999</v>
      </c>
      <c r="K783" s="104">
        <f t="shared" si="1265"/>
        <v>-3.0000000000000001E-3</v>
      </c>
      <c r="L783" s="105">
        <f t="shared" si="1227"/>
        <v>0.13780000000000001</v>
      </c>
      <c r="M783" s="105" t="s">
        <v>282</v>
      </c>
      <c r="N783" s="105" t="s">
        <v>282</v>
      </c>
      <c r="O783" s="20">
        <f t="shared" ref="O783:P783" si="1266">ROUND(0.96*O771+0.04*O807,0)</f>
        <v>180</v>
      </c>
      <c r="P783" s="20">
        <f t="shared" si="1266"/>
        <v>60</v>
      </c>
      <c r="Q783" s="104">
        <f t="shared" si="1239"/>
        <v>1E-3</v>
      </c>
      <c r="R783" s="20">
        <f t="shared" ref="R783:S783" si="1267">ROUND(0.96*R771+0.04*R807,0)</f>
        <v>3</v>
      </c>
      <c r="S783" s="20">
        <f t="shared" si="1267"/>
        <v>1500</v>
      </c>
      <c r="T783" s="104">
        <f t="shared" si="1241"/>
        <v>0.1</v>
      </c>
      <c r="U783" s="123" t="s">
        <v>282</v>
      </c>
      <c r="V783" s="21"/>
      <c r="W783" s="58">
        <f t="shared" si="1256"/>
        <v>33093</v>
      </c>
      <c r="X783" s="102">
        <f t="shared" si="1257"/>
        <v>57.723100000000002</v>
      </c>
      <c r="Y783" s="102">
        <f t="shared" si="1258"/>
        <v>11.9869</v>
      </c>
      <c r="Z783" s="21">
        <f t="shared" si="1259"/>
        <v>8195</v>
      </c>
      <c r="AA783" s="44">
        <f t="shared" si="1260"/>
        <v>0</v>
      </c>
      <c r="AB783" s="21">
        <f t="shared" si="1261"/>
        <v>6</v>
      </c>
      <c r="AC783" s="119">
        <f>ROUND(I783+mwreg!$G$85/100,3)</f>
        <v>-0.46500000000000002</v>
      </c>
      <c r="AD783" s="108">
        <f>ROUND(J783+mwreg!$G$85/100,3)</f>
        <v>1.2250000000000001</v>
      </c>
      <c r="AE783" s="108">
        <f>ROUND(K783+mwreg!$G$85/100,3)</f>
        <v>7.1999999999999995E-2</v>
      </c>
      <c r="AF783" s="102">
        <f t="shared" si="1248"/>
        <v>0.13780000000000001</v>
      </c>
      <c r="AG783" s="102" t="str">
        <f t="shared" si="1249"/>
        <v>NaN</v>
      </c>
      <c r="AH783" s="109" t="str">
        <f t="shared" si="1229"/>
        <v>NaN</v>
      </c>
      <c r="AI783" s="110">
        <f t="shared" si="1230"/>
        <v>180</v>
      </c>
      <c r="AJ783" s="110">
        <f t="shared" si="1231"/>
        <v>60</v>
      </c>
      <c r="AK783" s="108">
        <f t="shared" si="1232"/>
        <v>1E-3</v>
      </c>
      <c r="AL783" s="110">
        <f t="shared" si="1233"/>
        <v>3</v>
      </c>
      <c r="AM783" s="110">
        <f t="shared" si="1234"/>
        <v>1500</v>
      </c>
      <c r="AN783" s="108">
        <f t="shared" si="1235"/>
        <v>0.1</v>
      </c>
      <c r="AO783" s="186" t="str">
        <f t="shared" si="1236"/>
        <v>NaN</v>
      </c>
    </row>
    <row r="784" spans="1:41" x14ac:dyDescent="0.2">
      <c r="A784" s="3" t="s">
        <v>296</v>
      </c>
      <c r="B784" s="3" t="s">
        <v>296</v>
      </c>
      <c r="C784" s="52">
        <v>33093</v>
      </c>
      <c r="D784" s="160">
        <v>57.723100000000002</v>
      </c>
      <c r="E784" s="105">
        <v>11.9869</v>
      </c>
      <c r="F784" s="20">
        <v>8195</v>
      </c>
      <c r="G784" s="18">
        <v>0</v>
      </c>
      <c r="H784" s="53">
        <v>7</v>
      </c>
      <c r="I784" s="167">
        <f t="shared" ref="I784:K784" si="1268">ROUND(0.96*I772+0.04*I808,3)</f>
        <v>-0.47</v>
      </c>
      <c r="J784" s="104">
        <f t="shared" si="1268"/>
        <v>0.88</v>
      </c>
      <c r="K784" s="104">
        <f t="shared" si="1268"/>
        <v>5.0999999999999997E-2</v>
      </c>
      <c r="L784" s="105">
        <f t="shared" si="1227"/>
        <v>0.13189999999999999</v>
      </c>
      <c r="M784" s="105" t="s">
        <v>282</v>
      </c>
      <c r="N784" s="105" t="s">
        <v>282</v>
      </c>
      <c r="O784" s="20">
        <f t="shared" ref="O784:P784" si="1269">ROUND(0.96*O772+0.04*O808,0)</f>
        <v>180</v>
      </c>
      <c r="P784" s="20">
        <f t="shared" si="1269"/>
        <v>60</v>
      </c>
      <c r="Q784" s="104">
        <f t="shared" si="1239"/>
        <v>1E-3</v>
      </c>
      <c r="R784" s="20">
        <f t="shared" ref="R784:S784" si="1270">ROUND(0.96*R772+0.04*R808,0)</f>
        <v>3</v>
      </c>
      <c r="S784" s="20">
        <f t="shared" si="1270"/>
        <v>1500</v>
      </c>
      <c r="T784" s="104">
        <f t="shared" si="1241"/>
        <v>0.1</v>
      </c>
      <c r="U784" s="123" t="s">
        <v>282</v>
      </c>
      <c r="V784" s="21"/>
      <c r="W784" s="58">
        <f t="shared" si="1256"/>
        <v>33093</v>
      </c>
      <c r="X784" s="102">
        <f t="shared" si="1257"/>
        <v>57.723100000000002</v>
      </c>
      <c r="Y784" s="102">
        <f t="shared" si="1258"/>
        <v>11.9869</v>
      </c>
      <c r="Z784" s="21">
        <f t="shared" si="1259"/>
        <v>8195</v>
      </c>
      <c r="AA784" s="44">
        <f t="shared" si="1260"/>
        <v>0</v>
      </c>
      <c r="AB784" s="21">
        <f t="shared" si="1261"/>
        <v>7</v>
      </c>
      <c r="AC784" s="119">
        <f>ROUND(I784+mwreg!$G$85/100,3)</f>
        <v>-0.39500000000000002</v>
      </c>
      <c r="AD784" s="108">
        <f>ROUND(J784+mwreg!$G$85/100,3)</f>
        <v>0.95499999999999996</v>
      </c>
      <c r="AE784" s="108">
        <f>ROUND(K784+mwreg!$G$85/100,3)</f>
        <v>0.126</v>
      </c>
      <c r="AF784" s="102">
        <f t="shared" si="1248"/>
        <v>0.13189999999999999</v>
      </c>
      <c r="AG784" s="102" t="str">
        <f t="shared" si="1249"/>
        <v>NaN</v>
      </c>
      <c r="AH784" s="109" t="str">
        <f t="shared" si="1229"/>
        <v>NaN</v>
      </c>
      <c r="AI784" s="110">
        <f t="shared" si="1230"/>
        <v>180</v>
      </c>
      <c r="AJ784" s="110">
        <f t="shared" si="1231"/>
        <v>60</v>
      </c>
      <c r="AK784" s="108">
        <f t="shared" si="1232"/>
        <v>1E-3</v>
      </c>
      <c r="AL784" s="110">
        <f t="shared" si="1233"/>
        <v>3</v>
      </c>
      <c r="AM784" s="110">
        <f t="shared" si="1234"/>
        <v>1500</v>
      </c>
      <c r="AN784" s="108">
        <f t="shared" si="1235"/>
        <v>0.1</v>
      </c>
      <c r="AO784" s="186" t="str">
        <f t="shared" si="1236"/>
        <v>NaN</v>
      </c>
    </row>
    <row r="785" spans="1:41" x14ac:dyDescent="0.2">
      <c r="A785" s="3" t="s">
        <v>296</v>
      </c>
      <c r="B785" s="3" t="s">
        <v>296</v>
      </c>
      <c r="C785" s="52">
        <v>33093</v>
      </c>
      <c r="D785" s="160">
        <v>57.723100000000002</v>
      </c>
      <c r="E785" s="105">
        <v>11.9869</v>
      </c>
      <c r="F785" s="20">
        <v>8195</v>
      </c>
      <c r="G785" s="18">
        <v>0</v>
      </c>
      <c r="H785" s="53">
        <v>8</v>
      </c>
      <c r="I785" s="167">
        <f t="shared" ref="I785:K785" si="1271">ROUND(0.96*I773+0.04*I809,3)</f>
        <v>-0.40600000000000003</v>
      </c>
      <c r="J785" s="104">
        <f t="shared" si="1271"/>
        <v>0.97</v>
      </c>
      <c r="K785" s="104">
        <f t="shared" si="1271"/>
        <v>7.3999999999999996E-2</v>
      </c>
      <c r="L785" s="105">
        <f t="shared" si="1227"/>
        <v>0.1409</v>
      </c>
      <c r="M785" s="105" t="s">
        <v>282</v>
      </c>
      <c r="N785" s="105" t="s">
        <v>282</v>
      </c>
      <c r="O785" s="20">
        <f t="shared" ref="O785:P785" si="1272">ROUND(0.96*O773+0.04*O809,0)</f>
        <v>180</v>
      </c>
      <c r="P785" s="20">
        <f t="shared" si="1272"/>
        <v>60</v>
      </c>
      <c r="Q785" s="104">
        <f t="shared" si="1239"/>
        <v>1E-3</v>
      </c>
      <c r="R785" s="20">
        <f t="shared" ref="R785:S785" si="1273">ROUND(0.96*R773+0.04*R809,0)</f>
        <v>3</v>
      </c>
      <c r="S785" s="20">
        <f t="shared" si="1273"/>
        <v>1500</v>
      </c>
      <c r="T785" s="104">
        <f t="shared" si="1241"/>
        <v>0.1</v>
      </c>
      <c r="U785" s="123" t="s">
        <v>282</v>
      </c>
      <c r="V785" s="21"/>
      <c r="W785" s="58">
        <f t="shared" si="1256"/>
        <v>33093</v>
      </c>
      <c r="X785" s="102">
        <f t="shared" si="1257"/>
        <v>57.723100000000002</v>
      </c>
      <c r="Y785" s="102">
        <f t="shared" si="1258"/>
        <v>11.9869</v>
      </c>
      <c r="Z785" s="21">
        <f t="shared" si="1259"/>
        <v>8195</v>
      </c>
      <c r="AA785" s="44">
        <f t="shared" si="1260"/>
        <v>0</v>
      </c>
      <c r="AB785" s="21">
        <f t="shared" si="1261"/>
        <v>8</v>
      </c>
      <c r="AC785" s="119">
        <f>ROUND(I785+mwreg!$G$85/100,3)</f>
        <v>-0.33100000000000002</v>
      </c>
      <c r="AD785" s="108">
        <f>ROUND(J785+mwreg!$G$85/100,3)</f>
        <v>1.0449999999999999</v>
      </c>
      <c r="AE785" s="108">
        <f>ROUND(K785+mwreg!$G$85/100,3)</f>
        <v>0.14899999999999999</v>
      </c>
      <c r="AF785" s="102">
        <f t="shared" si="1248"/>
        <v>0.1409</v>
      </c>
      <c r="AG785" s="102" t="str">
        <f t="shared" si="1249"/>
        <v>NaN</v>
      </c>
      <c r="AH785" s="109" t="str">
        <f t="shared" si="1229"/>
        <v>NaN</v>
      </c>
      <c r="AI785" s="110">
        <f t="shared" si="1230"/>
        <v>180</v>
      </c>
      <c r="AJ785" s="110">
        <f t="shared" si="1231"/>
        <v>60</v>
      </c>
      <c r="AK785" s="108">
        <f t="shared" si="1232"/>
        <v>1E-3</v>
      </c>
      <c r="AL785" s="110">
        <f t="shared" si="1233"/>
        <v>3</v>
      </c>
      <c r="AM785" s="110">
        <f t="shared" si="1234"/>
        <v>1500</v>
      </c>
      <c r="AN785" s="108">
        <f t="shared" si="1235"/>
        <v>0.1</v>
      </c>
      <c r="AO785" s="186" t="str">
        <f t="shared" si="1236"/>
        <v>NaN</v>
      </c>
    </row>
    <row r="786" spans="1:41" x14ac:dyDescent="0.2">
      <c r="A786" s="3" t="s">
        <v>296</v>
      </c>
      <c r="B786" s="3" t="s">
        <v>296</v>
      </c>
      <c r="C786" s="52">
        <v>33093</v>
      </c>
      <c r="D786" s="160">
        <v>57.723100000000002</v>
      </c>
      <c r="E786" s="105">
        <v>11.9869</v>
      </c>
      <c r="F786" s="20">
        <v>8195</v>
      </c>
      <c r="G786" s="18">
        <v>0</v>
      </c>
      <c r="H786" s="53">
        <v>9</v>
      </c>
      <c r="I786" s="167">
        <f t="shared" ref="I786:K786" si="1274">ROUND(0.96*I774+0.04*I810,3)</f>
        <v>-0.55500000000000005</v>
      </c>
      <c r="J786" s="104">
        <f t="shared" si="1274"/>
        <v>1.2050000000000001</v>
      </c>
      <c r="K786" s="104">
        <f t="shared" si="1274"/>
        <v>9.6000000000000002E-2</v>
      </c>
      <c r="L786" s="105">
        <f t="shared" si="1227"/>
        <v>0.18759999999999999</v>
      </c>
      <c r="M786" s="105" t="s">
        <v>282</v>
      </c>
      <c r="N786" s="105" t="s">
        <v>282</v>
      </c>
      <c r="O786" s="20">
        <f t="shared" ref="O786:P786" si="1275">ROUND(0.96*O774+0.04*O810,0)</f>
        <v>180</v>
      </c>
      <c r="P786" s="20">
        <f t="shared" si="1275"/>
        <v>60</v>
      </c>
      <c r="Q786" s="104">
        <f t="shared" si="1239"/>
        <v>1E-3</v>
      </c>
      <c r="R786" s="20">
        <f t="shared" ref="R786:S786" si="1276">ROUND(0.96*R774+0.04*R810,0)</f>
        <v>3</v>
      </c>
      <c r="S786" s="20">
        <f t="shared" si="1276"/>
        <v>1500</v>
      </c>
      <c r="T786" s="104">
        <f t="shared" si="1241"/>
        <v>0.1</v>
      </c>
      <c r="U786" s="123" t="s">
        <v>282</v>
      </c>
      <c r="V786" s="21"/>
      <c r="W786" s="58">
        <f t="shared" si="1256"/>
        <v>33093</v>
      </c>
      <c r="X786" s="102">
        <f t="shared" si="1257"/>
        <v>57.723100000000002</v>
      </c>
      <c r="Y786" s="102">
        <f t="shared" si="1258"/>
        <v>11.9869</v>
      </c>
      <c r="Z786" s="21">
        <f t="shared" si="1259"/>
        <v>8195</v>
      </c>
      <c r="AA786" s="44">
        <f t="shared" si="1260"/>
        <v>0</v>
      </c>
      <c r="AB786" s="21">
        <f t="shared" si="1261"/>
        <v>9</v>
      </c>
      <c r="AC786" s="119">
        <f>ROUND(I786+mwreg!$G$85/100,3)</f>
        <v>-0.48</v>
      </c>
      <c r="AD786" s="108">
        <f>ROUND(J786+mwreg!$G$85/100,3)</f>
        <v>1.28</v>
      </c>
      <c r="AE786" s="108">
        <f>ROUND(K786+mwreg!$G$85/100,3)</f>
        <v>0.17100000000000001</v>
      </c>
      <c r="AF786" s="102">
        <f t="shared" si="1248"/>
        <v>0.18759999999999999</v>
      </c>
      <c r="AG786" s="102" t="str">
        <f t="shared" si="1249"/>
        <v>NaN</v>
      </c>
      <c r="AH786" s="109" t="str">
        <f t="shared" si="1229"/>
        <v>NaN</v>
      </c>
      <c r="AI786" s="110">
        <f t="shared" si="1230"/>
        <v>180</v>
      </c>
      <c r="AJ786" s="110">
        <f t="shared" si="1231"/>
        <v>60</v>
      </c>
      <c r="AK786" s="108">
        <f t="shared" si="1232"/>
        <v>1E-3</v>
      </c>
      <c r="AL786" s="110">
        <f t="shared" si="1233"/>
        <v>3</v>
      </c>
      <c r="AM786" s="110">
        <f t="shared" si="1234"/>
        <v>1500</v>
      </c>
      <c r="AN786" s="108">
        <f t="shared" si="1235"/>
        <v>0.1</v>
      </c>
      <c r="AO786" s="186" t="str">
        <f t="shared" si="1236"/>
        <v>NaN</v>
      </c>
    </row>
    <row r="787" spans="1:41" x14ac:dyDescent="0.2">
      <c r="A787" s="3" t="s">
        <v>296</v>
      </c>
      <c r="B787" s="3" t="s">
        <v>296</v>
      </c>
      <c r="C787" s="52">
        <v>33093</v>
      </c>
      <c r="D787" s="160">
        <v>57.723100000000002</v>
      </c>
      <c r="E787" s="105">
        <v>11.9869</v>
      </c>
      <c r="F787" s="20">
        <v>8195</v>
      </c>
      <c r="G787" s="18">
        <v>0</v>
      </c>
      <c r="H787" s="53">
        <v>10</v>
      </c>
      <c r="I787" s="167">
        <f t="shared" ref="I787:K787" si="1277">ROUND(0.96*I775+0.04*I811,3)</f>
        <v>-0.71</v>
      </c>
      <c r="J787" s="104">
        <f t="shared" si="1277"/>
        <v>1.2170000000000001</v>
      </c>
      <c r="K787" s="104">
        <f t="shared" si="1277"/>
        <v>8.8999999999999996E-2</v>
      </c>
      <c r="L787" s="105">
        <f t="shared" si="1227"/>
        <v>0.2142</v>
      </c>
      <c r="M787" s="105" t="s">
        <v>282</v>
      </c>
      <c r="N787" s="105" t="s">
        <v>282</v>
      </c>
      <c r="O787" s="20">
        <f t="shared" ref="O787:P787" si="1278">ROUND(0.96*O775+0.04*O811,0)</f>
        <v>180</v>
      </c>
      <c r="P787" s="20">
        <f t="shared" si="1278"/>
        <v>60</v>
      </c>
      <c r="Q787" s="104">
        <f t="shared" si="1239"/>
        <v>1E-3</v>
      </c>
      <c r="R787" s="20">
        <f t="shared" ref="R787:S787" si="1279">ROUND(0.96*R775+0.04*R811,0)</f>
        <v>3</v>
      </c>
      <c r="S787" s="20">
        <f t="shared" si="1279"/>
        <v>1500</v>
      </c>
      <c r="T787" s="104">
        <f t="shared" si="1241"/>
        <v>0.1</v>
      </c>
      <c r="U787" s="123" t="s">
        <v>282</v>
      </c>
      <c r="V787" s="21"/>
      <c r="W787" s="58">
        <f t="shared" si="1256"/>
        <v>33093</v>
      </c>
      <c r="X787" s="102">
        <f t="shared" si="1257"/>
        <v>57.723100000000002</v>
      </c>
      <c r="Y787" s="102">
        <f t="shared" si="1258"/>
        <v>11.9869</v>
      </c>
      <c r="Z787" s="21">
        <f t="shared" si="1259"/>
        <v>8195</v>
      </c>
      <c r="AA787" s="44">
        <f t="shared" si="1260"/>
        <v>0</v>
      </c>
      <c r="AB787" s="21">
        <f t="shared" si="1261"/>
        <v>10</v>
      </c>
      <c r="AC787" s="119">
        <f>ROUND(I787+mwreg!$G$85/100,3)</f>
        <v>-0.63500000000000001</v>
      </c>
      <c r="AD787" s="108">
        <f>ROUND(J787+mwreg!$G$85/100,3)</f>
        <v>1.292</v>
      </c>
      <c r="AE787" s="108">
        <f>ROUND(K787+mwreg!$G$85/100,3)</f>
        <v>0.16400000000000001</v>
      </c>
      <c r="AF787" s="102">
        <f t="shared" si="1248"/>
        <v>0.2142</v>
      </c>
      <c r="AG787" s="102" t="str">
        <f t="shared" si="1249"/>
        <v>NaN</v>
      </c>
      <c r="AH787" s="109" t="str">
        <f t="shared" si="1229"/>
        <v>NaN</v>
      </c>
      <c r="AI787" s="110">
        <f t="shared" si="1230"/>
        <v>180</v>
      </c>
      <c r="AJ787" s="110">
        <f t="shared" si="1231"/>
        <v>60</v>
      </c>
      <c r="AK787" s="108">
        <f t="shared" si="1232"/>
        <v>1E-3</v>
      </c>
      <c r="AL787" s="110">
        <f t="shared" si="1233"/>
        <v>3</v>
      </c>
      <c r="AM787" s="110">
        <f t="shared" si="1234"/>
        <v>1500</v>
      </c>
      <c r="AN787" s="108">
        <f t="shared" si="1235"/>
        <v>0.1</v>
      </c>
      <c r="AO787" s="186" t="str">
        <f t="shared" si="1236"/>
        <v>NaN</v>
      </c>
    </row>
    <row r="788" spans="1:41" x14ac:dyDescent="0.2">
      <c r="A788" s="3" t="s">
        <v>296</v>
      </c>
      <c r="B788" s="3" t="s">
        <v>296</v>
      </c>
      <c r="C788" s="52">
        <v>33093</v>
      </c>
      <c r="D788" s="160">
        <v>57.723100000000002</v>
      </c>
      <c r="E788" s="105">
        <v>11.9869</v>
      </c>
      <c r="F788" s="20">
        <v>8195</v>
      </c>
      <c r="G788" s="18">
        <v>0</v>
      </c>
      <c r="H788" s="53">
        <v>11</v>
      </c>
      <c r="I788" s="167">
        <f t="shared" ref="I788:K788" si="1280">ROUND(0.96*I776+0.04*I812,3)</f>
        <v>-0.89</v>
      </c>
      <c r="J788" s="104">
        <f t="shared" si="1280"/>
        <v>1.504</v>
      </c>
      <c r="K788" s="104">
        <f t="shared" si="1280"/>
        <v>0.114</v>
      </c>
      <c r="L788" s="105">
        <f t="shared" si="1227"/>
        <v>0.2286</v>
      </c>
      <c r="M788" s="105" t="s">
        <v>282</v>
      </c>
      <c r="N788" s="105" t="s">
        <v>282</v>
      </c>
      <c r="O788" s="20">
        <f t="shared" ref="O788:P788" si="1281">ROUND(0.96*O776+0.04*O812,0)</f>
        <v>180</v>
      </c>
      <c r="P788" s="20">
        <f t="shared" si="1281"/>
        <v>60</v>
      </c>
      <c r="Q788" s="104">
        <f t="shared" si="1239"/>
        <v>1E-3</v>
      </c>
      <c r="R788" s="20">
        <f t="shared" ref="R788:S788" si="1282">ROUND(0.96*R776+0.04*R812,0)</f>
        <v>3</v>
      </c>
      <c r="S788" s="20">
        <f t="shared" si="1282"/>
        <v>1500</v>
      </c>
      <c r="T788" s="104">
        <f t="shared" si="1241"/>
        <v>0.1</v>
      </c>
      <c r="U788" s="123" t="s">
        <v>282</v>
      </c>
      <c r="V788" s="21"/>
      <c r="W788" s="58">
        <f t="shared" si="1256"/>
        <v>33093</v>
      </c>
      <c r="X788" s="102">
        <f t="shared" si="1257"/>
        <v>57.723100000000002</v>
      </c>
      <c r="Y788" s="102">
        <f t="shared" si="1258"/>
        <v>11.9869</v>
      </c>
      <c r="Z788" s="21">
        <f t="shared" si="1259"/>
        <v>8195</v>
      </c>
      <c r="AA788" s="44">
        <f t="shared" si="1260"/>
        <v>0</v>
      </c>
      <c r="AB788" s="21">
        <f t="shared" si="1261"/>
        <v>11</v>
      </c>
      <c r="AC788" s="119">
        <f>ROUND(I788+mwreg!$G$85/100,3)</f>
        <v>-0.81499999999999995</v>
      </c>
      <c r="AD788" s="108">
        <f>ROUND(J788+mwreg!$G$85/100,3)</f>
        <v>1.579</v>
      </c>
      <c r="AE788" s="108">
        <f>ROUND(K788+mwreg!$G$85/100,3)</f>
        <v>0.189</v>
      </c>
      <c r="AF788" s="102">
        <f t="shared" si="1248"/>
        <v>0.2286</v>
      </c>
      <c r="AG788" s="102" t="str">
        <f t="shared" si="1249"/>
        <v>NaN</v>
      </c>
      <c r="AH788" s="109" t="str">
        <f t="shared" si="1229"/>
        <v>NaN</v>
      </c>
      <c r="AI788" s="110">
        <f t="shared" si="1230"/>
        <v>180</v>
      </c>
      <c r="AJ788" s="110">
        <f t="shared" si="1231"/>
        <v>60</v>
      </c>
      <c r="AK788" s="108">
        <f t="shared" si="1232"/>
        <v>1E-3</v>
      </c>
      <c r="AL788" s="110">
        <f t="shared" si="1233"/>
        <v>3</v>
      </c>
      <c r="AM788" s="110">
        <f t="shared" si="1234"/>
        <v>1500</v>
      </c>
      <c r="AN788" s="108">
        <f t="shared" si="1235"/>
        <v>0.1</v>
      </c>
      <c r="AO788" s="186" t="str">
        <f t="shared" si="1236"/>
        <v>NaN</v>
      </c>
    </row>
    <row r="789" spans="1:41" x14ac:dyDescent="0.2">
      <c r="A789" s="3" t="s">
        <v>296</v>
      </c>
      <c r="B789" s="3" t="s">
        <v>296</v>
      </c>
      <c r="C789" s="52">
        <v>33093</v>
      </c>
      <c r="D789" s="160">
        <v>57.723100000000002</v>
      </c>
      <c r="E789" s="105">
        <v>11.9869</v>
      </c>
      <c r="F789" s="20">
        <v>8195</v>
      </c>
      <c r="G789" s="18">
        <v>0</v>
      </c>
      <c r="H789" s="53">
        <v>12</v>
      </c>
      <c r="I789" s="167">
        <f t="shared" ref="I789:K789" si="1283">ROUND(0.96*I777+0.04*I813,3)</f>
        <v>-0.91500000000000004</v>
      </c>
      <c r="J789" s="104">
        <f t="shared" si="1283"/>
        <v>1.6639999999999999</v>
      </c>
      <c r="K789" s="104">
        <f t="shared" si="1283"/>
        <v>9.2999999999999999E-2</v>
      </c>
      <c r="L789" s="105">
        <f t="shared" si="1227"/>
        <v>0.2676</v>
      </c>
      <c r="M789" s="105" t="s">
        <v>282</v>
      </c>
      <c r="N789" s="105" t="s">
        <v>282</v>
      </c>
      <c r="O789" s="20">
        <f t="shared" ref="O789:P789" si="1284">ROUND(0.96*O777+0.04*O813,0)</f>
        <v>180</v>
      </c>
      <c r="P789" s="20">
        <f t="shared" si="1284"/>
        <v>60</v>
      </c>
      <c r="Q789" s="104">
        <f t="shared" si="1239"/>
        <v>1E-3</v>
      </c>
      <c r="R789" s="20">
        <f t="shared" ref="R789:S789" si="1285">ROUND(0.96*R777+0.04*R813,0)</f>
        <v>3</v>
      </c>
      <c r="S789" s="20">
        <f t="shared" si="1285"/>
        <v>1500</v>
      </c>
      <c r="T789" s="104">
        <f t="shared" si="1241"/>
        <v>0.1</v>
      </c>
      <c r="U789" s="123" t="s">
        <v>282</v>
      </c>
      <c r="V789" s="21"/>
      <c r="W789" s="58">
        <f t="shared" si="1256"/>
        <v>33093</v>
      </c>
      <c r="X789" s="102">
        <f t="shared" si="1257"/>
        <v>57.723100000000002</v>
      </c>
      <c r="Y789" s="102">
        <f t="shared" si="1258"/>
        <v>11.9869</v>
      </c>
      <c r="Z789" s="21">
        <f t="shared" si="1259"/>
        <v>8195</v>
      </c>
      <c r="AA789" s="44">
        <f t="shared" si="1260"/>
        <v>0</v>
      </c>
      <c r="AB789" s="21">
        <f t="shared" si="1261"/>
        <v>12</v>
      </c>
      <c r="AC789" s="119">
        <f>ROUND(I789+mwreg!$G$85/100,3)</f>
        <v>-0.84</v>
      </c>
      <c r="AD789" s="108">
        <f>ROUND(J789+mwreg!$G$85/100,3)</f>
        <v>1.7390000000000001</v>
      </c>
      <c r="AE789" s="108">
        <f>ROUND(K789+mwreg!$G$85/100,3)</f>
        <v>0.16800000000000001</v>
      </c>
      <c r="AF789" s="102">
        <f t="shared" si="1248"/>
        <v>0.2676</v>
      </c>
      <c r="AG789" s="102" t="str">
        <f t="shared" si="1249"/>
        <v>NaN</v>
      </c>
      <c r="AH789" s="109" t="str">
        <f t="shared" si="1229"/>
        <v>NaN</v>
      </c>
      <c r="AI789" s="110">
        <f t="shared" si="1230"/>
        <v>180</v>
      </c>
      <c r="AJ789" s="110">
        <f t="shared" si="1231"/>
        <v>60</v>
      </c>
      <c r="AK789" s="108">
        <f t="shared" si="1232"/>
        <v>1E-3</v>
      </c>
      <c r="AL789" s="110">
        <f t="shared" si="1233"/>
        <v>3</v>
      </c>
      <c r="AM789" s="110">
        <f t="shared" si="1234"/>
        <v>1500</v>
      </c>
      <c r="AN789" s="108">
        <f t="shared" si="1235"/>
        <v>0.1</v>
      </c>
      <c r="AO789" s="186" t="str">
        <f t="shared" si="1236"/>
        <v>NaN</v>
      </c>
    </row>
    <row r="790" spans="1:41" x14ac:dyDescent="0.2">
      <c r="A790" s="3">
        <f>stat_uppg!A76</f>
        <v>33094</v>
      </c>
      <c r="B790" s="3" t="str">
        <f>stat_uppg!B76</f>
        <v>GÖTEBORG-LÄRJEHOLM (GBG)</v>
      </c>
      <c r="C790" s="52">
        <v>33094</v>
      </c>
      <c r="D790" s="221">
        <v>57.765799999999999</v>
      </c>
      <c r="E790" s="221">
        <v>12.005599999999999</v>
      </c>
      <c r="F790" s="20">
        <v>8195</v>
      </c>
      <c r="G790" s="18">
        <v>0</v>
      </c>
      <c r="H790" s="53">
        <v>1</v>
      </c>
      <c r="I790" s="167">
        <f>ROUND(0.187*I766+0.813*I802,4)</f>
        <v>-1.054</v>
      </c>
      <c r="J790" s="104">
        <f>ROUND(0.187*J766+0.813*J802,4)</f>
        <v>1.554</v>
      </c>
      <c r="K790" s="104">
        <f>ROUND(0.187*K766+0.813*K802,3)</f>
        <v>0.13100000000000001</v>
      </c>
      <c r="L790" s="105">
        <f t="shared" ref="L790" si="1286">ROUND(0.187*L766+0.813*L802,4)</f>
        <v>0.27139999999999997</v>
      </c>
      <c r="M790" s="105" t="s">
        <v>282</v>
      </c>
      <c r="N790" s="105" t="s">
        <v>282</v>
      </c>
      <c r="O790" s="20">
        <f>ROUND(0.187*O766+0.813*O802,0)</f>
        <v>180</v>
      </c>
      <c r="P790" s="20">
        <f>ROUND(0.187*P766+0.813*P802,0)</f>
        <v>60</v>
      </c>
      <c r="Q790" s="104">
        <f>ROUND(0.187*Q766+0.813*Q802,3)</f>
        <v>1E-3</v>
      </c>
      <c r="R790" s="20">
        <f>ROUND(0.187*R766+0.813*R802,0)</f>
        <v>3</v>
      </c>
      <c r="S790" s="20">
        <f>ROUND(0.187*S766+0.813*S802,0)</f>
        <v>1500</v>
      </c>
      <c r="T790" s="104">
        <f>ROUND(0.187*T766+0.813*T802,3)</f>
        <v>0.1</v>
      </c>
      <c r="U790" s="123" t="s">
        <v>282</v>
      </c>
      <c r="V790" s="21"/>
      <c r="W790" s="58">
        <f t="shared" si="1256"/>
        <v>33094</v>
      </c>
      <c r="X790" s="102">
        <f t="shared" ref="X790:X801" si="1287">D790</f>
        <v>57.765799999999999</v>
      </c>
      <c r="Y790" s="102">
        <f t="shared" ref="Y790:Y801" si="1288">E790</f>
        <v>12.005599999999999</v>
      </c>
      <c r="Z790" s="21">
        <f t="shared" ref="Z790:Z801" si="1289">F790</f>
        <v>8195</v>
      </c>
      <c r="AA790" s="44">
        <f t="shared" ref="AA790:AA801" si="1290">G790</f>
        <v>0</v>
      </c>
      <c r="AB790" s="21">
        <f t="shared" ref="AB790:AB801" si="1291">H790</f>
        <v>1</v>
      </c>
      <c r="AC790" s="119">
        <f>ROUND(I790+mwreg!$G$86/100,3)</f>
        <v>-0.92100000000000004</v>
      </c>
      <c r="AD790" s="108">
        <f>ROUND(J790+mwreg!$G$86/100,3)</f>
        <v>1.6870000000000001</v>
      </c>
      <c r="AE790" s="108">
        <f>ROUND(K790+mwreg!$G$86/100,3)</f>
        <v>0.26400000000000001</v>
      </c>
      <c r="AF790" s="102">
        <f t="shared" ref="AF790" si="1292">L790</f>
        <v>0.27139999999999997</v>
      </c>
      <c r="AG790" s="102" t="str">
        <f t="shared" ref="AG790" si="1293">M790</f>
        <v>NaN</v>
      </c>
      <c r="AH790" s="109" t="str">
        <f t="shared" ref="AH790" si="1294">N790</f>
        <v>NaN</v>
      </c>
      <c r="AI790" s="110">
        <f t="shared" ref="AI790" si="1295">O790</f>
        <v>180</v>
      </c>
      <c r="AJ790" s="110">
        <f t="shared" ref="AJ790" si="1296">P790</f>
        <v>60</v>
      </c>
      <c r="AK790" s="108">
        <f t="shared" ref="AK790" si="1297">Q790</f>
        <v>1E-3</v>
      </c>
      <c r="AL790" s="110">
        <f t="shared" ref="AL790" si="1298">R790</f>
        <v>3</v>
      </c>
      <c r="AM790" s="110">
        <f t="shared" ref="AM790" si="1299">S790</f>
        <v>1500</v>
      </c>
      <c r="AN790" s="108">
        <f t="shared" ref="AN790" si="1300">T790</f>
        <v>0.1</v>
      </c>
      <c r="AO790" s="186" t="str">
        <f t="shared" ref="AO790" si="1301">U790</f>
        <v>NaN</v>
      </c>
    </row>
    <row r="791" spans="1:41" x14ac:dyDescent="0.2">
      <c r="A791" s="3" t="s">
        <v>296</v>
      </c>
      <c r="B791" s="3" t="s">
        <v>296</v>
      </c>
      <c r="C791" s="52">
        <v>33094</v>
      </c>
      <c r="D791" s="221">
        <v>57.765799999999999</v>
      </c>
      <c r="E791" s="221">
        <v>12.005599999999999</v>
      </c>
      <c r="F791" s="20">
        <v>8195</v>
      </c>
      <c r="G791" s="18">
        <v>0</v>
      </c>
      <c r="H791" s="53">
        <v>2</v>
      </c>
      <c r="I791" s="167">
        <f t="shared" ref="I791:J791" si="1302">ROUND(0.187*I767+0.813*I803,4)</f>
        <v>-0.91100000000000003</v>
      </c>
      <c r="J791" s="104">
        <f t="shared" si="1302"/>
        <v>1.419</v>
      </c>
      <c r="K791" s="104">
        <f t="shared" ref="K791:K801" si="1303">ROUND(0.187*K767+0.813*K803,3)</f>
        <v>3.5000000000000003E-2</v>
      </c>
      <c r="L791" s="105">
        <f t="shared" ref="L791" si="1304">ROUND(0.187*L767+0.813*L803,4)</f>
        <v>0.24129999999999999</v>
      </c>
      <c r="M791" s="105" t="s">
        <v>282</v>
      </c>
      <c r="N791" s="105" t="s">
        <v>282</v>
      </c>
      <c r="O791" s="20">
        <f t="shared" ref="O791:P791" si="1305">ROUND(0.187*O767+0.813*O803,0)</f>
        <v>180</v>
      </c>
      <c r="P791" s="20">
        <f t="shared" si="1305"/>
        <v>60</v>
      </c>
      <c r="Q791" s="104">
        <f t="shared" ref="Q791:Q801" si="1306">ROUND(0.187*Q767+0.813*Q803,3)</f>
        <v>1E-3</v>
      </c>
      <c r="R791" s="20">
        <f t="shared" ref="R791:S791" si="1307">ROUND(0.187*R767+0.813*R803,0)</f>
        <v>3</v>
      </c>
      <c r="S791" s="20">
        <f t="shared" si="1307"/>
        <v>1500</v>
      </c>
      <c r="T791" s="104">
        <f t="shared" ref="T791:T801" si="1308">ROUND(0.187*T767+0.813*T803,3)</f>
        <v>0.1</v>
      </c>
      <c r="U791" s="123" t="s">
        <v>282</v>
      </c>
      <c r="V791" s="21"/>
      <c r="W791" s="58">
        <f t="shared" si="1256"/>
        <v>33094</v>
      </c>
      <c r="X791" s="102">
        <f t="shared" si="1287"/>
        <v>57.765799999999999</v>
      </c>
      <c r="Y791" s="102">
        <f t="shared" si="1288"/>
        <v>12.005599999999999</v>
      </c>
      <c r="Z791" s="21">
        <f t="shared" si="1289"/>
        <v>8195</v>
      </c>
      <c r="AA791" s="44">
        <f t="shared" si="1290"/>
        <v>0</v>
      </c>
      <c r="AB791" s="21">
        <f t="shared" si="1291"/>
        <v>2</v>
      </c>
      <c r="AC791" s="119">
        <f>ROUND(I791+mwreg!$G$86/100,3)</f>
        <v>-0.77800000000000002</v>
      </c>
      <c r="AD791" s="108">
        <f>ROUND(J791+mwreg!$G$86/100,3)</f>
        <v>1.552</v>
      </c>
      <c r="AE791" s="108">
        <f>ROUND(K791+mwreg!$G$86/100,3)</f>
        <v>0.16800000000000001</v>
      </c>
      <c r="AF791" s="102">
        <f t="shared" ref="AF791:AF801" si="1309">L791</f>
        <v>0.24129999999999999</v>
      </c>
      <c r="AG791" s="102" t="str">
        <f t="shared" ref="AG791:AG801" si="1310">M791</f>
        <v>NaN</v>
      </c>
      <c r="AH791" s="109" t="str">
        <f t="shared" ref="AH791:AH801" si="1311">N791</f>
        <v>NaN</v>
      </c>
      <c r="AI791" s="110">
        <f t="shared" ref="AI791:AI801" si="1312">O791</f>
        <v>180</v>
      </c>
      <c r="AJ791" s="110">
        <f t="shared" ref="AJ791:AJ801" si="1313">P791</f>
        <v>60</v>
      </c>
      <c r="AK791" s="108">
        <f t="shared" ref="AK791:AK801" si="1314">Q791</f>
        <v>1E-3</v>
      </c>
      <c r="AL791" s="110">
        <f t="shared" ref="AL791:AL801" si="1315">R791</f>
        <v>3</v>
      </c>
      <c r="AM791" s="110">
        <f t="shared" ref="AM791:AM801" si="1316">S791</f>
        <v>1500</v>
      </c>
      <c r="AN791" s="108">
        <f t="shared" ref="AN791:AN801" si="1317">T791</f>
        <v>0.1</v>
      </c>
      <c r="AO791" s="186" t="str">
        <f t="shared" ref="AO791:AO801" si="1318">U791</f>
        <v>NaN</v>
      </c>
    </row>
    <row r="792" spans="1:41" x14ac:dyDescent="0.2">
      <c r="A792" s="3" t="s">
        <v>296</v>
      </c>
      <c r="B792" s="3" t="s">
        <v>296</v>
      </c>
      <c r="C792" s="52">
        <v>33094</v>
      </c>
      <c r="D792" s="221">
        <v>57.765799999999999</v>
      </c>
      <c r="E792" s="221">
        <v>12.005599999999999</v>
      </c>
      <c r="F792" s="20">
        <v>8195</v>
      </c>
      <c r="G792" s="18">
        <v>0</v>
      </c>
      <c r="H792" s="53">
        <v>3</v>
      </c>
      <c r="I792" s="167">
        <f t="shared" ref="I792:J792" si="1319">ROUND(0.187*I768+0.813*I804,4)</f>
        <v>-0.79500000000000004</v>
      </c>
      <c r="J792" s="104">
        <f t="shared" si="1319"/>
        <v>1.3280000000000001</v>
      </c>
      <c r="K792" s="104">
        <f t="shared" si="1303"/>
        <v>3.0000000000000001E-3</v>
      </c>
      <c r="L792" s="105">
        <f t="shared" ref="L792" si="1320">ROUND(0.187*L768+0.813*L804,4)</f>
        <v>0.2253</v>
      </c>
      <c r="M792" s="105" t="s">
        <v>282</v>
      </c>
      <c r="N792" s="105" t="s">
        <v>282</v>
      </c>
      <c r="O792" s="20">
        <f t="shared" ref="O792:P792" si="1321">ROUND(0.187*O768+0.813*O804,0)</f>
        <v>180</v>
      </c>
      <c r="P792" s="20">
        <f t="shared" si="1321"/>
        <v>60</v>
      </c>
      <c r="Q792" s="104">
        <f t="shared" si="1306"/>
        <v>1E-3</v>
      </c>
      <c r="R792" s="20">
        <f t="shared" ref="R792:S792" si="1322">ROUND(0.187*R768+0.813*R804,0)</f>
        <v>3</v>
      </c>
      <c r="S792" s="20">
        <f t="shared" si="1322"/>
        <v>1500</v>
      </c>
      <c r="T792" s="104">
        <f t="shared" si="1308"/>
        <v>0.1</v>
      </c>
      <c r="U792" s="123" t="s">
        <v>282</v>
      </c>
      <c r="V792" s="21"/>
      <c r="W792" s="58">
        <f t="shared" si="1256"/>
        <v>33094</v>
      </c>
      <c r="X792" s="102">
        <f t="shared" si="1287"/>
        <v>57.765799999999999</v>
      </c>
      <c r="Y792" s="102">
        <f t="shared" si="1288"/>
        <v>12.005599999999999</v>
      </c>
      <c r="Z792" s="21">
        <f t="shared" si="1289"/>
        <v>8195</v>
      </c>
      <c r="AA792" s="44">
        <f t="shared" si="1290"/>
        <v>0</v>
      </c>
      <c r="AB792" s="21">
        <f t="shared" si="1291"/>
        <v>3</v>
      </c>
      <c r="AC792" s="119">
        <f>ROUND(I792+mwreg!$G$86/100,3)</f>
        <v>-0.66200000000000003</v>
      </c>
      <c r="AD792" s="108">
        <f>ROUND(J792+mwreg!$G$86/100,3)</f>
        <v>1.4610000000000001</v>
      </c>
      <c r="AE792" s="108">
        <f>ROUND(K792+mwreg!$G$86/100,3)</f>
        <v>0.13600000000000001</v>
      </c>
      <c r="AF792" s="102">
        <f t="shared" si="1309"/>
        <v>0.2253</v>
      </c>
      <c r="AG792" s="102" t="str">
        <f t="shared" si="1310"/>
        <v>NaN</v>
      </c>
      <c r="AH792" s="109" t="str">
        <f t="shared" si="1311"/>
        <v>NaN</v>
      </c>
      <c r="AI792" s="110">
        <f t="shared" si="1312"/>
        <v>180</v>
      </c>
      <c r="AJ792" s="110">
        <f t="shared" si="1313"/>
        <v>60</v>
      </c>
      <c r="AK792" s="108">
        <f t="shared" si="1314"/>
        <v>1E-3</v>
      </c>
      <c r="AL792" s="110">
        <f t="shared" si="1315"/>
        <v>3</v>
      </c>
      <c r="AM792" s="110">
        <f t="shared" si="1316"/>
        <v>1500</v>
      </c>
      <c r="AN792" s="108">
        <f t="shared" si="1317"/>
        <v>0.1</v>
      </c>
      <c r="AO792" s="186" t="str">
        <f t="shared" si="1318"/>
        <v>NaN</v>
      </c>
    </row>
    <row r="793" spans="1:41" x14ac:dyDescent="0.2">
      <c r="A793" s="3" t="s">
        <v>296</v>
      </c>
      <c r="B793" s="3" t="s">
        <v>296</v>
      </c>
      <c r="C793" s="52">
        <v>33094</v>
      </c>
      <c r="D793" s="221">
        <v>57.765799999999999</v>
      </c>
      <c r="E793" s="221">
        <v>12.005599999999999</v>
      </c>
      <c r="F793" s="20">
        <v>8195</v>
      </c>
      <c r="G793" s="18">
        <v>0</v>
      </c>
      <c r="H793" s="53">
        <v>4</v>
      </c>
      <c r="I793" s="167">
        <f t="shared" ref="I793:J793" si="1323">ROUND(0.187*I769+0.813*I805,4)</f>
        <v>-0.98</v>
      </c>
      <c r="J793" s="104">
        <f t="shared" si="1323"/>
        <v>0.91</v>
      </c>
      <c r="K793" s="104">
        <f t="shared" si="1303"/>
        <v>-2.5999999999999999E-2</v>
      </c>
      <c r="L793" s="105">
        <f t="shared" ref="L793" si="1324">ROUND(0.187*L769+0.813*L805,4)</f>
        <v>0.15679999999999999</v>
      </c>
      <c r="M793" s="105" t="s">
        <v>282</v>
      </c>
      <c r="N793" s="105" t="s">
        <v>282</v>
      </c>
      <c r="O793" s="20">
        <f t="shared" ref="O793:P793" si="1325">ROUND(0.187*O769+0.813*O805,0)</f>
        <v>180</v>
      </c>
      <c r="P793" s="20">
        <f t="shared" si="1325"/>
        <v>60</v>
      </c>
      <c r="Q793" s="104">
        <f t="shared" si="1306"/>
        <v>1E-3</v>
      </c>
      <c r="R793" s="20">
        <f t="shared" ref="R793:S793" si="1326">ROUND(0.187*R769+0.813*R805,0)</f>
        <v>3</v>
      </c>
      <c r="S793" s="20">
        <f t="shared" si="1326"/>
        <v>1500</v>
      </c>
      <c r="T793" s="104">
        <f t="shared" si="1308"/>
        <v>0.1</v>
      </c>
      <c r="U793" s="123" t="s">
        <v>282</v>
      </c>
      <c r="V793" s="21"/>
      <c r="W793" s="58">
        <f t="shared" si="1256"/>
        <v>33094</v>
      </c>
      <c r="X793" s="102">
        <f t="shared" si="1287"/>
        <v>57.765799999999999</v>
      </c>
      <c r="Y793" s="102">
        <f t="shared" si="1288"/>
        <v>12.005599999999999</v>
      </c>
      <c r="Z793" s="21">
        <f t="shared" si="1289"/>
        <v>8195</v>
      </c>
      <c r="AA793" s="44">
        <f t="shared" si="1290"/>
        <v>0</v>
      </c>
      <c r="AB793" s="21">
        <f t="shared" si="1291"/>
        <v>4</v>
      </c>
      <c r="AC793" s="119">
        <f>ROUND(I793+mwreg!$G$86/100,3)</f>
        <v>-0.84699999999999998</v>
      </c>
      <c r="AD793" s="108">
        <f>ROUND(J793+mwreg!$G$86/100,3)</f>
        <v>1.0429999999999999</v>
      </c>
      <c r="AE793" s="108">
        <f>ROUND(K793+mwreg!$G$86/100,3)</f>
        <v>0.107</v>
      </c>
      <c r="AF793" s="102">
        <f t="shared" si="1309"/>
        <v>0.15679999999999999</v>
      </c>
      <c r="AG793" s="102" t="str">
        <f t="shared" si="1310"/>
        <v>NaN</v>
      </c>
      <c r="AH793" s="109" t="str">
        <f t="shared" si="1311"/>
        <v>NaN</v>
      </c>
      <c r="AI793" s="110">
        <f t="shared" si="1312"/>
        <v>180</v>
      </c>
      <c r="AJ793" s="110">
        <f t="shared" si="1313"/>
        <v>60</v>
      </c>
      <c r="AK793" s="108">
        <f t="shared" si="1314"/>
        <v>1E-3</v>
      </c>
      <c r="AL793" s="110">
        <f t="shared" si="1315"/>
        <v>3</v>
      </c>
      <c r="AM793" s="110">
        <f t="shared" si="1316"/>
        <v>1500</v>
      </c>
      <c r="AN793" s="108">
        <f t="shared" si="1317"/>
        <v>0.1</v>
      </c>
      <c r="AO793" s="186" t="str">
        <f t="shared" si="1318"/>
        <v>NaN</v>
      </c>
    </row>
    <row r="794" spans="1:41" x14ac:dyDescent="0.2">
      <c r="A794" s="3" t="s">
        <v>296</v>
      </c>
      <c r="B794" s="3" t="s">
        <v>296</v>
      </c>
      <c r="C794" s="52">
        <v>33094</v>
      </c>
      <c r="D794" s="221">
        <v>57.765799999999999</v>
      </c>
      <c r="E794" s="221">
        <v>12.005599999999999</v>
      </c>
      <c r="F794" s="20">
        <v>8195</v>
      </c>
      <c r="G794" s="18">
        <v>0</v>
      </c>
      <c r="H794" s="53">
        <v>5</v>
      </c>
      <c r="I794" s="167">
        <f t="shared" ref="I794:J794" si="1327">ROUND(0.187*I770+0.813*I806,4)</f>
        <v>-0.57199999999999995</v>
      </c>
      <c r="J794" s="104">
        <f t="shared" si="1327"/>
        <v>0.748</v>
      </c>
      <c r="K794" s="104">
        <f t="shared" si="1303"/>
        <v>-2E-3</v>
      </c>
      <c r="L794" s="105">
        <f t="shared" ref="L794" si="1328">ROUND(0.187*L770+0.813*L806,4)</f>
        <v>0.14399999999999999</v>
      </c>
      <c r="M794" s="105" t="s">
        <v>282</v>
      </c>
      <c r="N794" s="105" t="s">
        <v>282</v>
      </c>
      <c r="O794" s="20">
        <f t="shared" ref="O794:P794" si="1329">ROUND(0.187*O770+0.813*O806,0)</f>
        <v>180</v>
      </c>
      <c r="P794" s="20">
        <f t="shared" si="1329"/>
        <v>60</v>
      </c>
      <c r="Q794" s="104">
        <f t="shared" si="1306"/>
        <v>1E-3</v>
      </c>
      <c r="R794" s="20">
        <f t="shared" ref="R794:S794" si="1330">ROUND(0.187*R770+0.813*R806,0)</f>
        <v>3</v>
      </c>
      <c r="S794" s="20">
        <f t="shared" si="1330"/>
        <v>1500</v>
      </c>
      <c r="T794" s="104">
        <f t="shared" si="1308"/>
        <v>0.1</v>
      </c>
      <c r="U794" s="123" t="s">
        <v>282</v>
      </c>
      <c r="V794" s="21"/>
      <c r="W794" s="58">
        <f t="shared" si="1256"/>
        <v>33094</v>
      </c>
      <c r="X794" s="102">
        <f t="shared" si="1287"/>
        <v>57.765799999999999</v>
      </c>
      <c r="Y794" s="102">
        <f t="shared" si="1288"/>
        <v>12.005599999999999</v>
      </c>
      <c r="Z794" s="21">
        <f t="shared" si="1289"/>
        <v>8195</v>
      </c>
      <c r="AA794" s="44">
        <f t="shared" si="1290"/>
        <v>0</v>
      </c>
      <c r="AB794" s="21">
        <f t="shared" si="1291"/>
        <v>5</v>
      </c>
      <c r="AC794" s="119">
        <f>ROUND(I794+mwreg!$G$86/100,3)</f>
        <v>-0.439</v>
      </c>
      <c r="AD794" s="108">
        <f>ROUND(J794+mwreg!$G$86/100,3)</f>
        <v>0.88100000000000001</v>
      </c>
      <c r="AE794" s="108">
        <f>ROUND(K794+mwreg!$G$86/100,3)</f>
        <v>0.13100000000000001</v>
      </c>
      <c r="AF794" s="102">
        <f t="shared" si="1309"/>
        <v>0.14399999999999999</v>
      </c>
      <c r="AG794" s="102" t="str">
        <f t="shared" si="1310"/>
        <v>NaN</v>
      </c>
      <c r="AH794" s="109" t="str">
        <f t="shared" si="1311"/>
        <v>NaN</v>
      </c>
      <c r="AI794" s="110">
        <f t="shared" si="1312"/>
        <v>180</v>
      </c>
      <c r="AJ794" s="110">
        <f t="shared" si="1313"/>
        <v>60</v>
      </c>
      <c r="AK794" s="108">
        <f t="shared" si="1314"/>
        <v>1E-3</v>
      </c>
      <c r="AL794" s="110">
        <f t="shared" si="1315"/>
        <v>3</v>
      </c>
      <c r="AM794" s="110">
        <f t="shared" si="1316"/>
        <v>1500</v>
      </c>
      <c r="AN794" s="108">
        <f t="shared" si="1317"/>
        <v>0.1</v>
      </c>
      <c r="AO794" s="186" t="str">
        <f t="shared" si="1318"/>
        <v>NaN</v>
      </c>
    </row>
    <row r="795" spans="1:41" x14ac:dyDescent="0.2">
      <c r="A795" s="3" t="s">
        <v>296</v>
      </c>
      <c r="B795" s="3" t="s">
        <v>296</v>
      </c>
      <c r="C795" s="52">
        <v>33094</v>
      </c>
      <c r="D795" s="221">
        <v>57.765799999999999</v>
      </c>
      <c r="E795" s="221">
        <v>12.005599999999999</v>
      </c>
      <c r="F795" s="20">
        <v>8195</v>
      </c>
      <c r="G795" s="18">
        <v>0</v>
      </c>
      <c r="H795" s="53">
        <v>6</v>
      </c>
      <c r="I795" s="167">
        <f t="shared" ref="I795:J795" si="1331">ROUND(0.187*I771+0.813*I807,4)</f>
        <v>-0.48199999999999998</v>
      </c>
      <c r="J795" s="104">
        <f t="shared" si="1331"/>
        <v>1.208</v>
      </c>
      <c r="K795" s="104">
        <f t="shared" si="1303"/>
        <v>5.5E-2</v>
      </c>
      <c r="L795" s="105">
        <f t="shared" ref="L795" si="1332">ROUND(0.187*L771+0.813*L807,4)</f>
        <v>0.13780000000000001</v>
      </c>
      <c r="M795" s="105" t="s">
        <v>282</v>
      </c>
      <c r="N795" s="105" t="s">
        <v>282</v>
      </c>
      <c r="O795" s="20">
        <f t="shared" ref="O795:P795" si="1333">ROUND(0.187*O771+0.813*O807,0)</f>
        <v>180</v>
      </c>
      <c r="P795" s="20">
        <f t="shared" si="1333"/>
        <v>60</v>
      </c>
      <c r="Q795" s="104">
        <f t="shared" si="1306"/>
        <v>1E-3</v>
      </c>
      <c r="R795" s="20">
        <f t="shared" ref="R795:S795" si="1334">ROUND(0.187*R771+0.813*R807,0)</f>
        <v>3</v>
      </c>
      <c r="S795" s="20">
        <f t="shared" si="1334"/>
        <v>1500</v>
      </c>
      <c r="T795" s="104">
        <f t="shared" si="1308"/>
        <v>0.1</v>
      </c>
      <c r="U795" s="123" t="s">
        <v>282</v>
      </c>
      <c r="V795" s="21"/>
      <c r="W795" s="58">
        <f t="shared" si="1256"/>
        <v>33094</v>
      </c>
      <c r="X795" s="102">
        <f t="shared" si="1287"/>
        <v>57.765799999999999</v>
      </c>
      <c r="Y795" s="102">
        <f t="shared" si="1288"/>
        <v>12.005599999999999</v>
      </c>
      <c r="Z795" s="21">
        <f t="shared" si="1289"/>
        <v>8195</v>
      </c>
      <c r="AA795" s="44">
        <f t="shared" si="1290"/>
        <v>0</v>
      </c>
      <c r="AB795" s="21">
        <f t="shared" si="1291"/>
        <v>6</v>
      </c>
      <c r="AC795" s="119">
        <f>ROUND(I795+mwreg!$G$86/100,3)</f>
        <v>-0.34899999999999998</v>
      </c>
      <c r="AD795" s="108">
        <f>ROUND(J795+mwreg!$G$86/100,3)</f>
        <v>1.341</v>
      </c>
      <c r="AE795" s="108">
        <f>ROUND(K795+mwreg!$G$86/100,3)</f>
        <v>0.188</v>
      </c>
      <c r="AF795" s="102">
        <f t="shared" si="1309"/>
        <v>0.13780000000000001</v>
      </c>
      <c r="AG795" s="102" t="str">
        <f t="shared" si="1310"/>
        <v>NaN</v>
      </c>
      <c r="AH795" s="109" t="str">
        <f t="shared" si="1311"/>
        <v>NaN</v>
      </c>
      <c r="AI795" s="110">
        <f t="shared" si="1312"/>
        <v>180</v>
      </c>
      <c r="AJ795" s="110">
        <f t="shared" si="1313"/>
        <v>60</v>
      </c>
      <c r="AK795" s="108">
        <f t="shared" si="1314"/>
        <v>1E-3</v>
      </c>
      <c r="AL795" s="110">
        <f t="shared" si="1315"/>
        <v>3</v>
      </c>
      <c r="AM795" s="110">
        <f t="shared" si="1316"/>
        <v>1500</v>
      </c>
      <c r="AN795" s="108">
        <f t="shared" si="1317"/>
        <v>0.1</v>
      </c>
      <c r="AO795" s="186" t="str">
        <f t="shared" si="1318"/>
        <v>NaN</v>
      </c>
    </row>
    <row r="796" spans="1:41" x14ac:dyDescent="0.2">
      <c r="A796" s="3" t="s">
        <v>296</v>
      </c>
      <c r="B796" s="3" t="s">
        <v>296</v>
      </c>
      <c r="C796" s="52">
        <v>33094</v>
      </c>
      <c r="D796" s="221">
        <v>57.765799999999999</v>
      </c>
      <c r="E796" s="221">
        <v>12.005599999999999</v>
      </c>
      <c r="F796" s="20">
        <v>8195</v>
      </c>
      <c r="G796" s="18">
        <v>0</v>
      </c>
      <c r="H796" s="53">
        <v>7</v>
      </c>
      <c r="I796" s="167">
        <f t="shared" ref="I796:J796" si="1335">ROUND(0.187*I772+0.813*I808,4)</f>
        <v>-0.41199999999999998</v>
      </c>
      <c r="J796" s="104">
        <f t="shared" si="1335"/>
        <v>0.93799999999999994</v>
      </c>
      <c r="K796" s="104">
        <f t="shared" si="1303"/>
        <v>0.109</v>
      </c>
      <c r="L796" s="105">
        <f t="shared" ref="L796" si="1336">ROUND(0.187*L772+0.813*L808,4)</f>
        <v>0.13189999999999999</v>
      </c>
      <c r="M796" s="105" t="s">
        <v>282</v>
      </c>
      <c r="N796" s="105" t="s">
        <v>282</v>
      </c>
      <c r="O796" s="20">
        <f t="shared" ref="O796:P796" si="1337">ROUND(0.187*O772+0.813*O808,0)</f>
        <v>180</v>
      </c>
      <c r="P796" s="20">
        <f t="shared" si="1337"/>
        <v>60</v>
      </c>
      <c r="Q796" s="104">
        <f t="shared" si="1306"/>
        <v>1E-3</v>
      </c>
      <c r="R796" s="20">
        <f t="shared" ref="R796:S796" si="1338">ROUND(0.187*R772+0.813*R808,0)</f>
        <v>3</v>
      </c>
      <c r="S796" s="20">
        <f t="shared" si="1338"/>
        <v>1500</v>
      </c>
      <c r="T796" s="104">
        <f t="shared" si="1308"/>
        <v>0.1</v>
      </c>
      <c r="U796" s="123" t="s">
        <v>282</v>
      </c>
      <c r="V796" s="21"/>
      <c r="W796" s="58">
        <f t="shared" si="1256"/>
        <v>33094</v>
      </c>
      <c r="X796" s="102">
        <f t="shared" si="1287"/>
        <v>57.765799999999999</v>
      </c>
      <c r="Y796" s="102">
        <f t="shared" si="1288"/>
        <v>12.005599999999999</v>
      </c>
      <c r="Z796" s="21">
        <f t="shared" si="1289"/>
        <v>8195</v>
      </c>
      <c r="AA796" s="44">
        <f t="shared" si="1290"/>
        <v>0</v>
      </c>
      <c r="AB796" s="21">
        <f t="shared" si="1291"/>
        <v>7</v>
      </c>
      <c r="AC796" s="119">
        <f>ROUND(I796+mwreg!$G$86/100,3)</f>
        <v>-0.27900000000000003</v>
      </c>
      <c r="AD796" s="108">
        <f>ROUND(J796+mwreg!$G$86/100,3)</f>
        <v>1.071</v>
      </c>
      <c r="AE796" s="108">
        <f>ROUND(K796+mwreg!$G$86/100,3)</f>
        <v>0.24199999999999999</v>
      </c>
      <c r="AF796" s="102">
        <f t="shared" si="1309"/>
        <v>0.13189999999999999</v>
      </c>
      <c r="AG796" s="102" t="str">
        <f t="shared" si="1310"/>
        <v>NaN</v>
      </c>
      <c r="AH796" s="109" t="str">
        <f t="shared" si="1311"/>
        <v>NaN</v>
      </c>
      <c r="AI796" s="110">
        <f t="shared" si="1312"/>
        <v>180</v>
      </c>
      <c r="AJ796" s="110">
        <f t="shared" si="1313"/>
        <v>60</v>
      </c>
      <c r="AK796" s="108">
        <f t="shared" si="1314"/>
        <v>1E-3</v>
      </c>
      <c r="AL796" s="110">
        <f t="shared" si="1315"/>
        <v>3</v>
      </c>
      <c r="AM796" s="110">
        <f t="shared" si="1316"/>
        <v>1500</v>
      </c>
      <c r="AN796" s="108">
        <f t="shared" si="1317"/>
        <v>0.1</v>
      </c>
      <c r="AO796" s="186" t="str">
        <f t="shared" si="1318"/>
        <v>NaN</v>
      </c>
    </row>
    <row r="797" spans="1:41" x14ac:dyDescent="0.2">
      <c r="A797" s="3" t="s">
        <v>296</v>
      </c>
      <c r="B797" s="3" t="s">
        <v>296</v>
      </c>
      <c r="C797" s="52">
        <v>33094</v>
      </c>
      <c r="D797" s="221">
        <v>57.765799999999999</v>
      </c>
      <c r="E797" s="221">
        <v>12.005599999999999</v>
      </c>
      <c r="F797" s="20">
        <v>8195</v>
      </c>
      <c r="G797" s="18">
        <v>0</v>
      </c>
      <c r="H797" s="53">
        <v>8</v>
      </c>
      <c r="I797" s="167">
        <f t="shared" ref="I797:J797" si="1339">ROUND(0.187*I773+0.813*I809,4)</f>
        <v>-0.34799999999999998</v>
      </c>
      <c r="J797" s="104">
        <f t="shared" si="1339"/>
        <v>1.028</v>
      </c>
      <c r="K797" s="104">
        <f t="shared" si="1303"/>
        <v>0.13200000000000001</v>
      </c>
      <c r="L797" s="105">
        <f t="shared" ref="L797" si="1340">ROUND(0.187*L773+0.813*L809,4)</f>
        <v>0.1409</v>
      </c>
      <c r="M797" s="105" t="s">
        <v>282</v>
      </c>
      <c r="N797" s="105" t="s">
        <v>282</v>
      </c>
      <c r="O797" s="20">
        <f t="shared" ref="O797:P797" si="1341">ROUND(0.187*O773+0.813*O809,0)</f>
        <v>180</v>
      </c>
      <c r="P797" s="20">
        <f t="shared" si="1341"/>
        <v>60</v>
      </c>
      <c r="Q797" s="104">
        <f t="shared" si="1306"/>
        <v>1E-3</v>
      </c>
      <c r="R797" s="20">
        <f t="shared" ref="R797:S797" si="1342">ROUND(0.187*R773+0.813*R809,0)</f>
        <v>3</v>
      </c>
      <c r="S797" s="20">
        <f t="shared" si="1342"/>
        <v>1500</v>
      </c>
      <c r="T797" s="104">
        <f t="shared" si="1308"/>
        <v>0.1</v>
      </c>
      <c r="U797" s="123" t="s">
        <v>282</v>
      </c>
      <c r="V797" s="21"/>
      <c r="W797" s="58">
        <f t="shared" si="1256"/>
        <v>33094</v>
      </c>
      <c r="X797" s="102">
        <f t="shared" si="1287"/>
        <v>57.765799999999999</v>
      </c>
      <c r="Y797" s="102">
        <f t="shared" si="1288"/>
        <v>12.005599999999999</v>
      </c>
      <c r="Z797" s="21">
        <f t="shared" si="1289"/>
        <v>8195</v>
      </c>
      <c r="AA797" s="44">
        <f t="shared" si="1290"/>
        <v>0</v>
      </c>
      <c r="AB797" s="21">
        <f t="shared" si="1291"/>
        <v>8</v>
      </c>
      <c r="AC797" s="119">
        <f>ROUND(I797+mwreg!$G$86/100,3)</f>
        <v>-0.215</v>
      </c>
      <c r="AD797" s="108">
        <f>ROUND(J797+mwreg!$G$86/100,3)</f>
        <v>1.161</v>
      </c>
      <c r="AE797" s="108">
        <f>ROUND(K797+mwreg!$G$86/100,3)</f>
        <v>0.26500000000000001</v>
      </c>
      <c r="AF797" s="102">
        <f t="shared" si="1309"/>
        <v>0.1409</v>
      </c>
      <c r="AG797" s="102" t="str">
        <f t="shared" si="1310"/>
        <v>NaN</v>
      </c>
      <c r="AH797" s="109" t="str">
        <f t="shared" si="1311"/>
        <v>NaN</v>
      </c>
      <c r="AI797" s="110">
        <f t="shared" si="1312"/>
        <v>180</v>
      </c>
      <c r="AJ797" s="110">
        <f t="shared" si="1313"/>
        <v>60</v>
      </c>
      <c r="AK797" s="108">
        <f t="shared" si="1314"/>
        <v>1E-3</v>
      </c>
      <c r="AL797" s="110">
        <f t="shared" si="1315"/>
        <v>3</v>
      </c>
      <c r="AM797" s="110">
        <f t="shared" si="1316"/>
        <v>1500</v>
      </c>
      <c r="AN797" s="108">
        <f t="shared" si="1317"/>
        <v>0.1</v>
      </c>
      <c r="AO797" s="186" t="str">
        <f t="shared" si="1318"/>
        <v>NaN</v>
      </c>
    </row>
    <row r="798" spans="1:41" x14ac:dyDescent="0.2">
      <c r="A798" s="3" t="s">
        <v>296</v>
      </c>
      <c r="B798" s="3" t="s">
        <v>296</v>
      </c>
      <c r="C798" s="52">
        <v>33094</v>
      </c>
      <c r="D798" s="221">
        <v>57.765799999999999</v>
      </c>
      <c r="E798" s="221">
        <v>12.005599999999999</v>
      </c>
      <c r="F798" s="20">
        <v>8195</v>
      </c>
      <c r="G798" s="18">
        <v>0</v>
      </c>
      <c r="H798" s="53">
        <v>9</v>
      </c>
      <c r="I798" s="167">
        <f t="shared" ref="I798:J798" si="1343">ROUND(0.187*I774+0.813*I810,4)</f>
        <v>-0.497</v>
      </c>
      <c r="J798" s="104">
        <f t="shared" si="1343"/>
        <v>1.2629999999999999</v>
      </c>
      <c r="K798" s="104">
        <f t="shared" si="1303"/>
        <v>0.154</v>
      </c>
      <c r="L798" s="105">
        <f t="shared" ref="L798" si="1344">ROUND(0.187*L774+0.813*L810,4)</f>
        <v>0.18759999999999999</v>
      </c>
      <c r="M798" s="105" t="s">
        <v>282</v>
      </c>
      <c r="N798" s="105" t="s">
        <v>282</v>
      </c>
      <c r="O798" s="20">
        <f t="shared" ref="O798:P798" si="1345">ROUND(0.187*O774+0.813*O810,0)</f>
        <v>180</v>
      </c>
      <c r="P798" s="20">
        <f t="shared" si="1345"/>
        <v>60</v>
      </c>
      <c r="Q798" s="104">
        <f t="shared" si="1306"/>
        <v>1E-3</v>
      </c>
      <c r="R798" s="20">
        <f t="shared" ref="R798:S798" si="1346">ROUND(0.187*R774+0.813*R810,0)</f>
        <v>3</v>
      </c>
      <c r="S798" s="20">
        <f t="shared" si="1346"/>
        <v>1500</v>
      </c>
      <c r="T798" s="104">
        <f t="shared" si="1308"/>
        <v>0.1</v>
      </c>
      <c r="U798" s="123" t="s">
        <v>282</v>
      </c>
      <c r="V798" s="21"/>
      <c r="W798" s="58">
        <f t="shared" si="1256"/>
        <v>33094</v>
      </c>
      <c r="X798" s="102">
        <f t="shared" si="1287"/>
        <v>57.765799999999999</v>
      </c>
      <c r="Y798" s="102">
        <f t="shared" si="1288"/>
        <v>12.005599999999999</v>
      </c>
      <c r="Z798" s="21">
        <f t="shared" si="1289"/>
        <v>8195</v>
      </c>
      <c r="AA798" s="44">
        <f t="shared" si="1290"/>
        <v>0</v>
      </c>
      <c r="AB798" s="21">
        <f t="shared" si="1291"/>
        <v>9</v>
      </c>
      <c r="AC798" s="119">
        <f>ROUND(I798+mwreg!$G$86/100,3)</f>
        <v>-0.36399999999999999</v>
      </c>
      <c r="AD798" s="108">
        <f>ROUND(J798+mwreg!$G$86/100,3)</f>
        <v>1.3959999999999999</v>
      </c>
      <c r="AE798" s="108">
        <f>ROUND(K798+mwreg!$G$86/100,3)</f>
        <v>0.28699999999999998</v>
      </c>
      <c r="AF798" s="102">
        <f t="shared" si="1309"/>
        <v>0.18759999999999999</v>
      </c>
      <c r="AG798" s="102" t="str">
        <f t="shared" si="1310"/>
        <v>NaN</v>
      </c>
      <c r="AH798" s="109" t="str">
        <f t="shared" si="1311"/>
        <v>NaN</v>
      </c>
      <c r="AI798" s="110">
        <f t="shared" si="1312"/>
        <v>180</v>
      </c>
      <c r="AJ798" s="110">
        <f t="shared" si="1313"/>
        <v>60</v>
      </c>
      <c r="AK798" s="108">
        <f t="shared" si="1314"/>
        <v>1E-3</v>
      </c>
      <c r="AL798" s="110">
        <f t="shared" si="1315"/>
        <v>3</v>
      </c>
      <c r="AM798" s="110">
        <f t="shared" si="1316"/>
        <v>1500</v>
      </c>
      <c r="AN798" s="108">
        <f t="shared" si="1317"/>
        <v>0.1</v>
      </c>
      <c r="AO798" s="186" t="str">
        <f t="shared" si="1318"/>
        <v>NaN</v>
      </c>
    </row>
    <row r="799" spans="1:41" x14ac:dyDescent="0.2">
      <c r="A799" s="3" t="s">
        <v>296</v>
      </c>
      <c r="B799" s="3" t="s">
        <v>296</v>
      </c>
      <c r="C799" s="52">
        <v>33094</v>
      </c>
      <c r="D799" s="221">
        <v>57.765799999999999</v>
      </c>
      <c r="E799" s="221">
        <v>12.005599999999999</v>
      </c>
      <c r="F799" s="20">
        <v>8195</v>
      </c>
      <c r="G799" s="18">
        <v>0</v>
      </c>
      <c r="H799" s="53">
        <v>10</v>
      </c>
      <c r="I799" s="167">
        <f t="shared" ref="I799:J799" si="1347">ROUND(0.187*I775+0.813*I811,4)</f>
        <v>-0.65200000000000002</v>
      </c>
      <c r="J799" s="104">
        <f t="shared" si="1347"/>
        <v>1.2749999999999999</v>
      </c>
      <c r="K799" s="104">
        <f t="shared" si="1303"/>
        <v>0.14699999999999999</v>
      </c>
      <c r="L799" s="105">
        <f t="shared" ref="L799" si="1348">ROUND(0.187*L775+0.813*L811,4)</f>
        <v>0.2142</v>
      </c>
      <c r="M799" s="105" t="s">
        <v>282</v>
      </c>
      <c r="N799" s="105" t="s">
        <v>282</v>
      </c>
      <c r="O799" s="20">
        <f t="shared" ref="O799:P799" si="1349">ROUND(0.187*O775+0.813*O811,0)</f>
        <v>180</v>
      </c>
      <c r="P799" s="20">
        <f t="shared" si="1349"/>
        <v>60</v>
      </c>
      <c r="Q799" s="104">
        <f t="shared" si="1306"/>
        <v>1E-3</v>
      </c>
      <c r="R799" s="20">
        <f t="shared" ref="R799:S799" si="1350">ROUND(0.187*R775+0.813*R811,0)</f>
        <v>3</v>
      </c>
      <c r="S799" s="20">
        <f t="shared" si="1350"/>
        <v>1500</v>
      </c>
      <c r="T799" s="104">
        <f t="shared" si="1308"/>
        <v>0.1</v>
      </c>
      <c r="U799" s="123" t="s">
        <v>282</v>
      </c>
      <c r="V799" s="21"/>
      <c r="W799" s="58">
        <f t="shared" si="1256"/>
        <v>33094</v>
      </c>
      <c r="X799" s="102">
        <f t="shared" si="1287"/>
        <v>57.765799999999999</v>
      </c>
      <c r="Y799" s="102">
        <f t="shared" si="1288"/>
        <v>12.005599999999999</v>
      </c>
      <c r="Z799" s="21">
        <f t="shared" si="1289"/>
        <v>8195</v>
      </c>
      <c r="AA799" s="44">
        <f t="shared" si="1290"/>
        <v>0</v>
      </c>
      <c r="AB799" s="21">
        <f t="shared" si="1291"/>
        <v>10</v>
      </c>
      <c r="AC799" s="119">
        <f>ROUND(I799+mwreg!$G$86/100,3)</f>
        <v>-0.51900000000000002</v>
      </c>
      <c r="AD799" s="108">
        <f>ROUND(J799+mwreg!$G$86/100,3)</f>
        <v>1.4079999999999999</v>
      </c>
      <c r="AE799" s="108">
        <f>ROUND(K799+mwreg!$G$86/100,3)</f>
        <v>0.28000000000000003</v>
      </c>
      <c r="AF799" s="102">
        <f t="shared" si="1309"/>
        <v>0.2142</v>
      </c>
      <c r="AG799" s="102" t="str">
        <f t="shared" si="1310"/>
        <v>NaN</v>
      </c>
      <c r="AH799" s="109" t="str">
        <f t="shared" si="1311"/>
        <v>NaN</v>
      </c>
      <c r="AI799" s="110">
        <f t="shared" si="1312"/>
        <v>180</v>
      </c>
      <c r="AJ799" s="110">
        <f t="shared" si="1313"/>
        <v>60</v>
      </c>
      <c r="AK799" s="108">
        <f t="shared" si="1314"/>
        <v>1E-3</v>
      </c>
      <c r="AL799" s="110">
        <f t="shared" si="1315"/>
        <v>3</v>
      </c>
      <c r="AM799" s="110">
        <f t="shared" si="1316"/>
        <v>1500</v>
      </c>
      <c r="AN799" s="108">
        <f t="shared" si="1317"/>
        <v>0.1</v>
      </c>
      <c r="AO799" s="186" t="str">
        <f t="shared" si="1318"/>
        <v>NaN</v>
      </c>
    </row>
    <row r="800" spans="1:41" x14ac:dyDescent="0.2">
      <c r="A800" s="3" t="s">
        <v>296</v>
      </c>
      <c r="B800" s="3" t="s">
        <v>296</v>
      </c>
      <c r="C800" s="52">
        <v>33094</v>
      </c>
      <c r="D800" s="221">
        <v>57.765799999999999</v>
      </c>
      <c r="E800" s="221">
        <v>12.005599999999999</v>
      </c>
      <c r="F800" s="20">
        <v>8195</v>
      </c>
      <c r="G800" s="18">
        <v>0</v>
      </c>
      <c r="H800" s="53">
        <v>11</v>
      </c>
      <c r="I800" s="167">
        <f t="shared" ref="I800:J800" si="1351">ROUND(0.187*I776+0.813*I812,4)</f>
        <v>-0.83199999999999996</v>
      </c>
      <c r="J800" s="104">
        <f t="shared" si="1351"/>
        <v>1.5620000000000001</v>
      </c>
      <c r="K800" s="104">
        <f t="shared" si="1303"/>
        <v>0.17199999999999999</v>
      </c>
      <c r="L800" s="105">
        <f t="shared" ref="L800" si="1352">ROUND(0.187*L776+0.813*L812,4)</f>
        <v>0.2286</v>
      </c>
      <c r="M800" s="105" t="s">
        <v>282</v>
      </c>
      <c r="N800" s="105" t="s">
        <v>282</v>
      </c>
      <c r="O800" s="20">
        <f t="shared" ref="O800:P800" si="1353">ROUND(0.187*O776+0.813*O812,0)</f>
        <v>180</v>
      </c>
      <c r="P800" s="20">
        <f t="shared" si="1353"/>
        <v>60</v>
      </c>
      <c r="Q800" s="104">
        <f t="shared" si="1306"/>
        <v>1E-3</v>
      </c>
      <c r="R800" s="20">
        <f t="shared" ref="R800:S800" si="1354">ROUND(0.187*R776+0.813*R812,0)</f>
        <v>3</v>
      </c>
      <c r="S800" s="20">
        <f t="shared" si="1354"/>
        <v>1500</v>
      </c>
      <c r="T800" s="104">
        <f t="shared" si="1308"/>
        <v>0.1</v>
      </c>
      <c r="U800" s="123" t="s">
        <v>282</v>
      </c>
      <c r="V800" s="21"/>
      <c r="W800" s="58">
        <f t="shared" si="1256"/>
        <v>33094</v>
      </c>
      <c r="X800" s="102">
        <f t="shared" si="1287"/>
        <v>57.765799999999999</v>
      </c>
      <c r="Y800" s="102">
        <f t="shared" si="1288"/>
        <v>12.005599999999999</v>
      </c>
      <c r="Z800" s="21">
        <f t="shared" si="1289"/>
        <v>8195</v>
      </c>
      <c r="AA800" s="44">
        <f t="shared" si="1290"/>
        <v>0</v>
      </c>
      <c r="AB800" s="21">
        <f t="shared" si="1291"/>
        <v>11</v>
      </c>
      <c r="AC800" s="119">
        <f>ROUND(I800+mwreg!$G$86/100,3)</f>
        <v>-0.69899999999999995</v>
      </c>
      <c r="AD800" s="108">
        <f>ROUND(J800+mwreg!$G$86/100,3)</f>
        <v>1.6950000000000001</v>
      </c>
      <c r="AE800" s="108">
        <f>ROUND(K800+mwreg!$G$86/100,3)</f>
        <v>0.30499999999999999</v>
      </c>
      <c r="AF800" s="102">
        <f t="shared" si="1309"/>
        <v>0.2286</v>
      </c>
      <c r="AG800" s="102" t="str">
        <f t="shared" si="1310"/>
        <v>NaN</v>
      </c>
      <c r="AH800" s="109" t="str">
        <f t="shared" si="1311"/>
        <v>NaN</v>
      </c>
      <c r="AI800" s="110">
        <f t="shared" si="1312"/>
        <v>180</v>
      </c>
      <c r="AJ800" s="110">
        <f t="shared" si="1313"/>
        <v>60</v>
      </c>
      <c r="AK800" s="108">
        <f t="shared" si="1314"/>
        <v>1E-3</v>
      </c>
      <c r="AL800" s="110">
        <f t="shared" si="1315"/>
        <v>3</v>
      </c>
      <c r="AM800" s="110">
        <f t="shared" si="1316"/>
        <v>1500</v>
      </c>
      <c r="AN800" s="108">
        <f t="shared" si="1317"/>
        <v>0.1</v>
      </c>
      <c r="AO800" s="186" t="str">
        <f t="shared" si="1318"/>
        <v>NaN</v>
      </c>
    </row>
    <row r="801" spans="1:41" x14ac:dyDescent="0.2">
      <c r="A801" s="3" t="s">
        <v>296</v>
      </c>
      <c r="B801" s="3" t="s">
        <v>296</v>
      </c>
      <c r="C801" s="52">
        <v>33094</v>
      </c>
      <c r="D801" s="221">
        <v>57.765799999999999</v>
      </c>
      <c r="E801" s="221">
        <v>12.005599999999999</v>
      </c>
      <c r="F801" s="20">
        <v>8195</v>
      </c>
      <c r="G801" s="18">
        <v>0</v>
      </c>
      <c r="H801" s="53">
        <v>12</v>
      </c>
      <c r="I801" s="167">
        <f t="shared" ref="I801:J801" si="1355">ROUND(0.187*I777+0.813*I813,4)</f>
        <v>-0.85699999999999998</v>
      </c>
      <c r="J801" s="104">
        <f t="shared" si="1355"/>
        <v>1.722</v>
      </c>
      <c r="K801" s="104">
        <f t="shared" si="1303"/>
        <v>0.151</v>
      </c>
      <c r="L801" s="105">
        <f t="shared" ref="L801" si="1356">ROUND(0.187*L777+0.813*L813,4)</f>
        <v>0.2676</v>
      </c>
      <c r="M801" s="105" t="s">
        <v>282</v>
      </c>
      <c r="N801" s="105" t="s">
        <v>282</v>
      </c>
      <c r="O801" s="20">
        <f t="shared" ref="O801:P801" si="1357">ROUND(0.187*O777+0.813*O813,0)</f>
        <v>180</v>
      </c>
      <c r="P801" s="20">
        <f t="shared" si="1357"/>
        <v>60</v>
      </c>
      <c r="Q801" s="104">
        <f t="shared" si="1306"/>
        <v>1E-3</v>
      </c>
      <c r="R801" s="20">
        <f t="shared" ref="R801:S801" si="1358">ROUND(0.187*R777+0.813*R813,0)</f>
        <v>3</v>
      </c>
      <c r="S801" s="20">
        <f t="shared" si="1358"/>
        <v>1500</v>
      </c>
      <c r="T801" s="104">
        <f t="shared" si="1308"/>
        <v>0.1</v>
      </c>
      <c r="U801" s="123" t="s">
        <v>282</v>
      </c>
      <c r="V801" s="21"/>
      <c r="W801" s="58">
        <f t="shared" si="1256"/>
        <v>33094</v>
      </c>
      <c r="X801" s="102">
        <f t="shared" si="1287"/>
        <v>57.765799999999999</v>
      </c>
      <c r="Y801" s="102">
        <f t="shared" si="1288"/>
        <v>12.005599999999999</v>
      </c>
      <c r="Z801" s="21">
        <f t="shared" si="1289"/>
        <v>8195</v>
      </c>
      <c r="AA801" s="44">
        <f t="shared" si="1290"/>
        <v>0</v>
      </c>
      <c r="AB801" s="21">
        <f t="shared" si="1291"/>
        <v>12</v>
      </c>
      <c r="AC801" s="119">
        <f>ROUND(I801+mwreg!$G$86/100,3)</f>
        <v>-0.72399999999999998</v>
      </c>
      <c r="AD801" s="108">
        <f>ROUND(J801+mwreg!$G$86/100,3)</f>
        <v>1.855</v>
      </c>
      <c r="AE801" s="108">
        <f>ROUND(K801+mwreg!$G$86/100,3)</f>
        <v>0.28399999999999997</v>
      </c>
      <c r="AF801" s="102">
        <f t="shared" si="1309"/>
        <v>0.2676</v>
      </c>
      <c r="AG801" s="102" t="str">
        <f t="shared" si="1310"/>
        <v>NaN</v>
      </c>
      <c r="AH801" s="109" t="str">
        <f t="shared" si="1311"/>
        <v>NaN</v>
      </c>
      <c r="AI801" s="110">
        <f t="shared" si="1312"/>
        <v>180</v>
      </c>
      <c r="AJ801" s="110">
        <f t="shared" si="1313"/>
        <v>60</v>
      </c>
      <c r="AK801" s="108">
        <f t="shared" si="1314"/>
        <v>1E-3</v>
      </c>
      <c r="AL801" s="110">
        <f t="shared" si="1315"/>
        <v>3</v>
      </c>
      <c r="AM801" s="110">
        <f t="shared" si="1316"/>
        <v>1500</v>
      </c>
      <c r="AN801" s="108">
        <f t="shared" si="1317"/>
        <v>0.1</v>
      </c>
      <c r="AO801" s="186" t="str">
        <f t="shared" si="1318"/>
        <v>NaN</v>
      </c>
    </row>
    <row r="802" spans="1:41" x14ac:dyDescent="0.2">
      <c r="A802" s="3">
        <f>stat_uppg!A77</f>
        <v>33095</v>
      </c>
      <c r="B802" s="3" t="str">
        <f>stat_uppg!B77</f>
        <v>GÖTEBORG-AGNESBERG (GBG)</v>
      </c>
      <c r="C802" s="52">
        <v>33095</v>
      </c>
      <c r="D802" s="160">
        <v>57.789700000000003</v>
      </c>
      <c r="E802" s="105">
        <v>12.01</v>
      </c>
      <c r="F802" s="20">
        <v>8195</v>
      </c>
      <c r="G802" s="18">
        <v>0</v>
      </c>
      <c r="H802" s="53">
        <v>1</v>
      </c>
      <c r="I802" s="167">
        <f>I766+0.075</f>
        <v>-1.04</v>
      </c>
      <c r="J802" s="104">
        <f t="shared" ref="J802:K802" si="1359">J766+0.075</f>
        <v>1.5680000000000001</v>
      </c>
      <c r="K802" s="104">
        <f t="shared" si="1359"/>
        <v>0.14500000000000002</v>
      </c>
      <c r="L802" s="105">
        <f t="shared" ref="L802:L813" si="1360">L766</f>
        <v>0.27139999999999997</v>
      </c>
      <c r="M802" s="105" t="s">
        <v>282</v>
      </c>
      <c r="N802" s="105" t="s">
        <v>282</v>
      </c>
      <c r="O802" s="20">
        <f>ROUND(O718,0)</f>
        <v>180</v>
      </c>
      <c r="P802" s="20">
        <f t="shared" ref="P802:S802" si="1361">ROUND(P718,0)</f>
        <v>60</v>
      </c>
      <c r="Q802" s="104">
        <f t="shared" ref="Q802:Q813" si="1362">ROUND(Q718,3)</f>
        <v>1E-3</v>
      </c>
      <c r="R802" s="20">
        <f t="shared" si="1361"/>
        <v>3</v>
      </c>
      <c r="S802" s="20">
        <f t="shared" si="1361"/>
        <v>1500</v>
      </c>
      <c r="T802" s="104">
        <f t="shared" ref="T802:T813" si="1363">ROUND(T718,3)</f>
        <v>0.1</v>
      </c>
      <c r="U802" s="123" t="s">
        <v>282</v>
      </c>
      <c r="V802" s="21"/>
      <c r="W802" s="58">
        <f t="shared" si="1256"/>
        <v>33095</v>
      </c>
      <c r="X802" s="102">
        <f t="shared" si="1257"/>
        <v>57.789700000000003</v>
      </c>
      <c r="Y802" s="102">
        <f t="shared" si="1258"/>
        <v>12.01</v>
      </c>
      <c r="Z802" s="21">
        <f t="shared" si="1259"/>
        <v>8195</v>
      </c>
      <c r="AA802" s="44">
        <f t="shared" si="1260"/>
        <v>0</v>
      </c>
      <c r="AB802" s="21">
        <f t="shared" si="1261"/>
        <v>1</v>
      </c>
      <c r="AC802" s="119">
        <f>ROUND(I802+mwreg!$G$87/100,3)</f>
        <v>-0.89300000000000002</v>
      </c>
      <c r="AD802" s="108">
        <f>ROUND(J802+mwreg!$G$87/100,3)</f>
        <v>1.7150000000000001</v>
      </c>
      <c r="AE802" s="108">
        <f>ROUND(K802+mwreg!$G$87/100,3)</f>
        <v>0.29199999999999998</v>
      </c>
      <c r="AF802" s="102">
        <f t="shared" ref="AF802:AF814" si="1364">L802</f>
        <v>0.27139999999999997</v>
      </c>
      <c r="AG802" s="102" t="str">
        <f t="shared" si="1249"/>
        <v>NaN</v>
      </c>
      <c r="AH802" s="109" t="str">
        <f t="shared" si="1229"/>
        <v>NaN</v>
      </c>
      <c r="AI802" s="110">
        <f t="shared" si="1230"/>
        <v>180</v>
      </c>
      <c r="AJ802" s="110">
        <f t="shared" si="1231"/>
        <v>60</v>
      </c>
      <c r="AK802" s="108">
        <f t="shared" si="1232"/>
        <v>1E-3</v>
      </c>
      <c r="AL802" s="110">
        <f t="shared" si="1233"/>
        <v>3</v>
      </c>
      <c r="AM802" s="110">
        <f t="shared" si="1234"/>
        <v>1500</v>
      </c>
      <c r="AN802" s="108">
        <f t="shared" si="1235"/>
        <v>0.1</v>
      </c>
      <c r="AO802" s="186" t="str">
        <f t="shared" si="1236"/>
        <v>NaN</v>
      </c>
    </row>
    <row r="803" spans="1:41" x14ac:dyDescent="0.2">
      <c r="A803" s="3" t="s">
        <v>296</v>
      </c>
      <c r="B803" s="3" t="s">
        <v>296</v>
      </c>
      <c r="C803" s="52">
        <v>33095</v>
      </c>
      <c r="D803" s="160">
        <v>57.789700000000003</v>
      </c>
      <c r="E803" s="105">
        <v>12.01</v>
      </c>
      <c r="F803" s="20">
        <v>8195</v>
      </c>
      <c r="G803" s="18">
        <v>0</v>
      </c>
      <c r="H803" s="53">
        <v>2</v>
      </c>
      <c r="I803" s="167">
        <f t="shared" ref="I803:K803" si="1365">I767+0.075</f>
        <v>-0.89700000000000002</v>
      </c>
      <c r="J803" s="104">
        <f t="shared" si="1365"/>
        <v>1.4330000000000001</v>
      </c>
      <c r="K803" s="104">
        <f t="shared" si="1365"/>
        <v>4.9000000000000002E-2</v>
      </c>
      <c r="L803" s="105">
        <f t="shared" si="1360"/>
        <v>0.24129999999999999</v>
      </c>
      <c r="M803" s="105" t="s">
        <v>282</v>
      </c>
      <c r="N803" s="105" t="s">
        <v>282</v>
      </c>
      <c r="O803" s="20">
        <f t="shared" ref="O803:P803" si="1366">ROUND(O719,0)</f>
        <v>180</v>
      </c>
      <c r="P803" s="20">
        <f t="shared" si="1366"/>
        <v>60</v>
      </c>
      <c r="Q803" s="104">
        <f t="shared" si="1362"/>
        <v>1E-3</v>
      </c>
      <c r="R803" s="20">
        <f t="shared" ref="R803:S803" si="1367">ROUND(R719,0)</f>
        <v>3</v>
      </c>
      <c r="S803" s="20">
        <f t="shared" si="1367"/>
        <v>1500</v>
      </c>
      <c r="T803" s="104">
        <f t="shared" si="1363"/>
        <v>0.1</v>
      </c>
      <c r="U803" s="123" t="s">
        <v>282</v>
      </c>
      <c r="V803" s="21"/>
      <c r="W803" s="58">
        <f t="shared" si="1256"/>
        <v>33095</v>
      </c>
      <c r="X803" s="102">
        <f t="shared" si="1257"/>
        <v>57.789700000000003</v>
      </c>
      <c r="Y803" s="102">
        <f t="shared" si="1258"/>
        <v>12.01</v>
      </c>
      <c r="Z803" s="21">
        <f t="shared" si="1259"/>
        <v>8195</v>
      </c>
      <c r="AA803" s="44">
        <f t="shared" si="1260"/>
        <v>0</v>
      </c>
      <c r="AB803" s="21">
        <f t="shared" si="1261"/>
        <v>2</v>
      </c>
      <c r="AC803" s="119">
        <f>ROUND(I803+mwreg!$G$87/100,3)</f>
        <v>-0.75</v>
      </c>
      <c r="AD803" s="108">
        <f>ROUND(J803+mwreg!$G$87/100,3)</f>
        <v>1.58</v>
      </c>
      <c r="AE803" s="108">
        <f>ROUND(K803+mwreg!$G$87/100,3)</f>
        <v>0.19600000000000001</v>
      </c>
      <c r="AF803" s="102">
        <f t="shared" ref="AF803:AF813" si="1368">L803</f>
        <v>0.24129999999999999</v>
      </c>
      <c r="AG803" s="102" t="str">
        <f t="shared" si="1249"/>
        <v>NaN</v>
      </c>
      <c r="AH803" s="109" t="str">
        <f t="shared" si="1229"/>
        <v>NaN</v>
      </c>
      <c r="AI803" s="110">
        <f t="shared" si="1230"/>
        <v>180</v>
      </c>
      <c r="AJ803" s="110">
        <f t="shared" si="1231"/>
        <v>60</v>
      </c>
      <c r="AK803" s="108">
        <f t="shared" si="1232"/>
        <v>1E-3</v>
      </c>
      <c r="AL803" s="110">
        <f t="shared" si="1233"/>
        <v>3</v>
      </c>
      <c r="AM803" s="110">
        <f t="shared" si="1234"/>
        <v>1500</v>
      </c>
      <c r="AN803" s="108">
        <f t="shared" si="1235"/>
        <v>0.1</v>
      </c>
      <c r="AO803" s="186" t="str">
        <f t="shared" si="1236"/>
        <v>NaN</v>
      </c>
    </row>
    <row r="804" spans="1:41" x14ac:dyDescent="0.2">
      <c r="A804" s="3" t="s">
        <v>296</v>
      </c>
      <c r="B804" s="3" t="s">
        <v>296</v>
      </c>
      <c r="C804" s="52">
        <v>33095</v>
      </c>
      <c r="D804" s="160">
        <v>57.789700000000003</v>
      </c>
      <c r="E804" s="105">
        <v>12.01</v>
      </c>
      <c r="F804" s="20">
        <v>8195</v>
      </c>
      <c r="G804" s="18">
        <v>0</v>
      </c>
      <c r="H804" s="53">
        <v>3</v>
      </c>
      <c r="I804" s="167">
        <f t="shared" ref="I804:K804" si="1369">I768+0.075</f>
        <v>-0.78100000000000003</v>
      </c>
      <c r="J804" s="104">
        <f t="shared" si="1369"/>
        <v>1.3419999999999999</v>
      </c>
      <c r="K804" s="104">
        <f t="shared" si="1369"/>
        <v>1.6999999999999994E-2</v>
      </c>
      <c r="L804" s="105">
        <f t="shared" si="1360"/>
        <v>0.2253</v>
      </c>
      <c r="M804" s="105" t="s">
        <v>282</v>
      </c>
      <c r="N804" s="105" t="s">
        <v>282</v>
      </c>
      <c r="O804" s="20">
        <f t="shared" ref="O804:P804" si="1370">ROUND(O720,0)</f>
        <v>180</v>
      </c>
      <c r="P804" s="20">
        <f t="shared" si="1370"/>
        <v>60</v>
      </c>
      <c r="Q804" s="104">
        <f t="shared" si="1362"/>
        <v>1E-3</v>
      </c>
      <c r="R804" s="20">
        <f t="shared" ref="R804:S804" si="1371">ROUND(R720,0)</f>
        <v>3</v>
      </c>
      <c r="S804" s="20">
        <f t="shared" si="1371"/>
        <v>1500</v>
      </c>
      <c r="T804" s="104">
        <f t="shared" si="1363"/>
        <v>0.1</v>
      </c>
      <c r="U804" s="123" t="s">
        <v>282</v>
      </c>
      <c r="V804" s="21"/>
      <c r="W804" s="58">
        <f t="shared" si="1256"/>
        <v>33095</v>
      </c>
      <c r="X804" s="102">
        <f t="shared" si="1257"/>
        <v>57.789700000000003</v>
      </c>
      <c r="Y804" s="102">
        <f t="shared" si="1258"/>
        <v>12.01</v>
      </c>
      <c r="Z804" s="21">
        <f t="shared" si="1259"/>
        <v>8195</v>
      </c>
      <c r="AA804" s="44">
        <f t="shared" si="1260"/>
        <v>0</v>
      </c>
      <c r="AB804" s="21">
        <f t="shared" si="1261"/>
        <v>3</v>
      </c>
      <c r="AC804" s="119">
        <f>ROUND(I804+mwreg!$G$87/100,3)</f>
        <v>-0.63400000000000001</v>
      </c>
      <c r="AD804" s="108">
        <f>ROUND(J804+mwreg!$G$87/100,3)</f>
        <v>1.4890000000000001</v>
      </c>
      <c r="AE804" s="108">
        <f>ROUND(K804+mwreg!$G$87/100,3)</f>
        <v>0.16400000000000001</v>
      </c>
      <c r="AF804" s="102">
        <f t="shared" si="1368"/>
        <v>0.2253</v>
      </c>
      <c r="AG804" s="102" t="str">
        <f t="shared" si="1249"/>
        <v>NaN</v>
      </c>
      <c r="AH804" s="109" t="str">
        <f t="shared" si="1229"/>
        <v>NaN</v>
      </c>
      <c r="AI804" s="110">
        <f t="shared" si="1230"/>
        <v>180</v>
      </c>
      <c r="AJ804" s="110">
        <f t="shared" si="1231"/>
        <v>60</v>
      </c>
      <c r="AK804" s="108">
        <f t="shared" si="1232"/>
        <v>1E-3</v>
      </c>
      <c r="AL804" s="110">
        <f t="shared" si="1233"/>
        <v>3</v>
      </c>
      <c r="AM804" s="110">
        <f t="shared" si="1234"/>
        <v>1500</v>
      </c>
      <c r="AN804" s="108">
        <f t="shared" si="1235"/>
        <v>0.1</v>
      </c>
      <c r="AO804" s="186" t="str">
        <f t="shared" si="1236"/>
        <v>NaN</v>
      </c>
    </row>
    <row r="805" spans="1:41" x14ac:dyDescent="0.2">
      <c r="A805" s="3" t="s">
        <v>296</v>
      </c>
      <c r="B805" s="3" t="s">
        <v>296</v>
      </c>
      <c r="C805" s="52">
        <v>33095</v>
      </c>
      <c r="D805" s="160">
        <v>57.789700000000003</v>
      </c>
      <c r="E805" s="105">
        <v>12.01</v>
      </c>
      <c r="F805" s="20">
        <v>8195</v>
      </c>
      <c r="G805" s="18">
        <v>0</v>
      </c>
      <c r="H805" s="53">
        <v>4</v>
      </c>
      <c r="I805" s="167">
        <f t="shared" ref="I805:K805" si="1372">I769+0.075</f>
        <v>-0.96599999999999997</v>
      </c>
      <c r="J805" s="104">
        <f t="shared" si="1372"/>
        <v>0.92399999999999993</v>
      </c>
      <c r="K805" s="104">
        <f t="shared" si="1372"/>
        <v>-1.1999999999999997E-2</v>
      </c>
      <c r="L805" s="105">
        <f t="shared" si="1360"/>
        <v>0.15679999999999999</v>
      </c>
      <c r="M805" s="105" t="s">
        <v>282</v>
      </c>
      <c r="N805" s="105" t="s">
        <v>282</v>
      </c>
      <c r="O805" s="20">
        <f t="shared" ref="O805:P805" si="1373">ROUND(O721,0)</f>
        <v>180</v>
      </c>
      <c r="P805" s="20">
        <f t="shared" si="1373"/>
        <v>60</v>
      </c>
      <c r="Q805" s="104">
        <f t="shared" si="1362"/>
        <v>1E-3</v>
      </c>
      <c r="R805" s="20">
        <f t="shared" ref="R805:S805" si="1374">ROUND(R721,0)</f>
        <v>3</v>
      </c>
      <c r="S805" s="20">
        <f t="shared" si="1374"/>
        <v>1500</v>
      </c>
      <c r="T805" s="104">
        <f t="shared" si="1363"/>
        <v>0.1</v>
      </c>
      <c r="U805" s="123" t="s">
        <v>282</v>
      </c>
      <c r="V805" s="21"/>
      <c r="W805" s="58">
        <f t="shared" si="1256"/>
        <v>33095</v>
      </c>
      <c r="X805" s="102">
        <f t="shared" si="1257"/>
        <v>57.789700000000003</v>
      </c>
      <c r="Y805" s="102">
        <f t="shared" si="1258"/>
        <v>12.01</v>
      </c>
      <c r="Z805" s="21">
        <f t="shared" si="1259"/>
        <v>8195</v>
      </c>
      <c r="AA805" s="44">
        <f t="shared" si="1260"/>
        <v>0</v>
      </c>
      <c r="AB805" s="21">
        <f t="shared" si="1261"/>
        <v>4</v>
      </c>
      <c r="AC805" s="119">
        <f>ROUND(I805+mwreg!$G$87/100,3)</f>
        <v>-0.81899999999999995</v>
      </c>
      <c r="AD805" s="108">
        <f>ROUND(J805+mwreg!$G$87/100,3)</f>
        <v>1.071</v>
      </c>
      <c r="AE805" s="108">
        <f>ROUND(K805+mwreg!$G$87/100,3)</f>
        <v>0.13500000000000001</v>
      </c>
      <c r="AF805" s="102">
        <f t="shared" si="1368"/>
        <v>0.15679999999999999</v>
      </c>
      <c r="AG805" s="102" t="str">
        <f t="shared" si="1249"/>
        <v>NaN</v>
      </c>
      <c r="AH805" s="109" t="str">
        <f t="shared" si="1229"/>
        <v>NaN</v>
      </c>
      <c r="AI805" s="110">
        <f t="shared" si="1230"/>
        <v>180</v>
      </c>
      <c r="AJ805" s="110">
        <f t="shared" si="1231"/>
        <v>60</v>
      </c>
      <c r="AK805" s="108">
        <f t="shared" si="1232"/>
        <v>1E-3</v>
      </c>
      <c r="AL805" s="110">
        <f t="shared" si="1233"/>
        <v>3</v>
      </c>
      <c r="AM805" s="110">
        <f t="shared" si="1234"/>
        <v>1500</v>
      </c>
      <c r="AN805" s="108">
        <f t="shared" si="1235"/>
        <v>0.1</v>
      </c>
      <c r="AO805" s="186" t="str">
        <f t="shared" si="1236"/>
        <v>NaN</v>
      </c>
    </row>
    <row r="806" spans="1:41" x14ac:dyDescent="0.2">
      <c r="A806" s="3" t="s">
        <v>296</v>
      </c>
      <c r="B806" s="3" t="s">
        <v>296</v>
      </c>
      <c r="C806" s="52">
        <v>33095</v>
      </c>
      <c r="D806" s="160">
        <v>57.789700000000003</v>
      </c>
      <c r="E806" s="105">
        <v>12.01</v>
      </c>
      <c r="F806" s="20">
        <v>8195</v>
      </c>
      <c r="G806" s="18">
        <v>0</v>
      </c>
      <c r="H806" s="53">
        <v>5</v>
      </c>
      <c r="I806" s="167">
        <f t="shared" ref="I806:K806" si="1375">I770+0.075</f>
        <v>-0.55800000000000005</v>
      </c>
      <c r="J806" s="104">
        <f t="shared" si="1375"/>
        <v>0.76200000000000001</v>
      </c>
      <c r="K806" s="104">
        <f t="shared" si="1375"/>
        <v>1.1999999999999997E-2</v>
      </c>
      <c r="L806" s="105">
        <f t="shared" si="1360"/>
        <v>0.14399999999999999</v>
      </c>
      <c r="M806" s="105" t="s">
        <v>282</v>
      </c>
      <c r="N806" s="105" t="s">
        <v>282</v>
      </c>
      <c r="O806" s="20">
        <f t="shared" ref="O806:P806" si="1376">ROUND(O722,0)</f>
        <v>180</v>
      </c>
      <c r="P806" s="20">
        <f t="shared" si="1376"/>
        <v>60</v>
      </c>
      <c r="Q806" s="104">
        <f t="shared" si="1362"/>
        <v>1E-3</v>
      </c>
      <c r="R806" s="20">
        <f t="shared" ref="R806:S806" si="1377">ROUND(R722,0)</f>
        <v>3</v>
      </c>
      <c r="S806" s="20">
        <f t="shared" si="1377"/>
        <v>1500</v>
      </c>
      <c r="T806" s="104">
        <f t="shared" si="1363"/>
        <v>0.1</v>
      </c>
      <c r="U806" s="123" t="s">
        <v>282</v>
      </c>
      <c r="V806" s="21"/>
      <c r="W806" s="58">
        <f t="shared" si="1256"/>
        <v>33095</v>
      </c>
      <c r="X806" s="102">
        <f t="shared" si="1257"/>
        <v>57.789700000000003</v>
      </c>
      <c r="Y806" s="102">
        <f t="shared" si="1258"/>
        <v>12.01</v>
      </c>
      <c r="Z806" s="21">
        <f t="shared" si="1259"/>
        <v>8195</v>
      </c>
      <c r="AA806" s="44">
        <f t="shared" si="1260"/>
        <v>0</v>
      </c>
      <c r="AB806" s="21">
        <f t="shared" si="1261"/>
        <v>5</v>
      </c>
      <c r="AC806" s="119">
        <f>ROUND(I806+mwreg!$G$87/100,3)</f>
        <v>-0.41099999999999998</v>
      </c>
      <c r="AD806" s="108">
        <f>ROUND(J806+mwreg!$G$87/100,3)</f>
        <v>0.90900000000000003</v>
      </c>
      <c r="AE806" s="108">
        <f>ROUND(K806+mwreg!$G$87/100,3)</f>
        <v>0.159</v>
      </c>
      <c r="AF806" s="102">
        <f t="shared" si="1368"/>
        <v>0.14399999999999999</v>
      </c>
      <c r="AG806" s="102" t="str">
        <f t="shared" si="1249"/>
        <v>NaN</v>
      </c>
      <c r="AH806" s="109" t="str">
        <f t="shared" si="1229"/>
        <v>NaN</v>
      </c>
      <c r="AI806" s="110">
        <f t="shared" si="1230"/>
        <v>180</v>
      </c>
      <c r="AJ806" s="110">
        <f t="shared" si="1231"/>
        <v>60</v>
      </c>
      <c r="AK806" s="108">
        <f t="shared" si="1232"/>
        <v>1E-3</v>
      </c>
      <c r="AL806" s="110">
        <f t="shared" si="1233"/>
        <v>3</v>
      </c>
      <c r="AM806" s="110">
        <f t="shared" si="1234"/>
        <v>1500</v>
      </c>
      <c r="AN806" s="108">
        <f t="shared" si="1235"/>
        <v>0.1</v>
      </c>
      <c r="AO806" s="186" t="str">
        <f t="shared" si="1236"/>
        <v>NaN</v>
      </c>
    </row>
    <row r="807" spans="1:41" x14ac:dyDescent="0.2">
      <c r="A807" s="3" t="s">
        <v>296</v>
      </c>
      <c r="B807" s="3" t="s">
        <v>296</v>
      </c>
      <c r="C807" s="52">
        <v>33095</v>
      </c>
      <c r="D807" s="160">
        <v>57.789700000000003</v>
      </c>
      <c r="E807" s="105">
        <v>12.01</v>
      </c>
      <c r="F807" s="20">
        <v>8195</v>
      </c>
      <c r="G807" s="18">
        <v>0</v>
      </c>
      <c r="H807" s="53">
        <v>6</v>
      </c>
      <c r="I807" s="167">
        <f t="shared" ref="I807:K807" si="1378">I771+0.075</f>
        <v>-0.46800000000000003</v>
      </c>
      <c r="J807" s="104">
        <f t="shared" si="1378"/>
        <v>1.222</v>
      </c>
      <c r="K807" s="104">
        <f t="shared" si="1378"/>
        <v>6.8999999999999992E-2</v>
      </c>
      <c r="L807" s="105">
        <f t="shared" si="1360"/>
        <v>0.13780000000000001</v>
      </c>
      <c r="M807" s="105" t="s">
        <v>282</v>
      </c>
      <c r="N807" s="105" t="s">
        <v>282</v>
      </c>
      <c r="O807" s="20">
        <f t="shared" ref="O807:P807" si="1379">ROUND(O723,0)</f>
        <v>180</v>
      </c>
      <c r="P807" s="20">
        <f t="shared" si="1379"/>
        <v>60</v>
      </c>
      <c r="Q807" s="104">
        <f t="shared" si="1362"/>
        <v>1E-3</v>
      </c>
      <c r="R807" s="20">
        <f t="shared" ref="R807:S807" si="1380">ROUND(R723,0)</f>
        <v>3</v>
      </c>
      <c r="S807" s="20">
        <f t="shared" si="1380"/>
        <v>1500</v>
      </c>
      <c r="T807" s="104">
        <f t="shared" si="1363"/>
        <v>0.1</v>
      </c>
      <c r="U807" s="123" t="s">
        <v>282</v>
      </c>
      <c r="V807" s="21"/>
      <c r="W807" s="58">
        <f t="shared" si="1256"/>
        <v>33095</v>
      </c>
      <c r="X807" s="102">
        <f t="shared" si="1257"/>
        <v>57.789700000000003</v>
      </c>
      <c r="Y807" s="102">
        <f t="shared" si="1258"/>
        <v>12.01</v>
      </c>
      <c r="Z807" s="21">
        <f t="shared" si="1259"/>
        <v>8195</v>
      </c>
      <c r="AA807" s="44">
        <f t="shared" si="1260"/>
        <v>0</v>
      </c>
      <c r="AB807" s="21">
        <f t="shared" si="1261"/>
        <v>6</v>
      </c>
      <c r="AC807" s="119">
        <f>ROUND(I807+mwreg!$G$87/100,3)</f>
        <v>-0.32100000000000001</v>
      </c>
      <c r="AD807" s="108">
        <f>ROUND(J807+mwreg!$G$87/100,3)</f>
        <v>1.369</v>
      </c>
      <c r="AE807" s="108">
        <f>ROUND(K807+mwreg!$G$87/100,3)</f>
        <v>0.216</v>
      </c>
      <c r="AF807" s="102">
        <f t="shared" si="1368"/>
        <v>0.13780000000000001</v>
      </c>
      <c r="AG807" s="102" t="str">
        <f t="shared" si="1249"/>
        <v>NaN</v>
      </c>
      <c r="AH807" s="109" t="str">
        <f t="shared" si="1229"/>
        <v>NaN</v>
      </c>
      <c r="AI807" s="110">
        <f t="shared" si="1230"/>
        <v>180</v>
      </c>
      <c r="AJ807" s="110">
        <f t="shared" si="1231"/>
        <v>60</v>
      </c>
      <c r="AK807" s="108">
        <f t="shared" si="1232"/>
        <v>1E-3</v>
      </c>
      <c r="AL807" s="110">
        <f t="shared" si="1233"/>
        <v>3</v>
      </c>
      <c r="AM807" s="110">
        <f t="shared" si="1234"/>
        <v>1500</v>
      </c>
      <c r="AN807" s="108">
        <f t="shared" si="1235"/>
        <v>0.1</v>
      </c>
      <c r="AO807" s="186" t="str">
        <f t="shared" si="1236"/>
        <v>NaN</v>
      </c>
    </row>
    <row r="808" spans="1:41" x14ac:dyDescent="0.2">
      <c r="A808" s="3" t="s">
        <v>296</v>
      </c>
      <c r="B808" s="3" t="s">
        <v>296</v>
      </c>
      <c r="C808" s="52">
        <v>33095</v>
      </c>
      <c r="D808" s="160">
        <v>57.789700000000003</v>
      </c>
      <c r="E808" s="105">
        <v>12.01</v>
      </c>
      <c r="F808" s="20">
        <v>8195</v>
      </c>
      <c r="G808" s="18">
        <v>0</v>
      </c>
      <c r="H808" s="53">
        <v>7</v>
      </c>
      <c r="I808" s="167">
        <f t="shared" ref="I808:K808" si="1381">I772+0.075</f>
        <v>-0.39799999999999996</v>
      </c>
      <c r="J808" s="104">
        <f t="shared" si="1381"/>
        <v>0.95199999999999996</v>
      </c>
      <c r="K808" s="104">
        <f t="shared" si="1381"/>
        <v>0.123</v>
      </c>
      <c r="L808" s="105">
        <f t="shared" si="1360"/>
        <v>0.13189999999999999</v>
      </c>
      <c r="M808" s="105" t="s">
        <v>282</v>
      </c>
      <c r="N808" s="105" t="s">
        <v>282</v>
      </c>
      <c r="O808" s="20">
        <f t="shared" ref="O808:P808" si="1382">ROUND(O724,0)</f>
        <v>180</v>
      </c>
      <c r="P808" s="20">
        <f t="shared" si="1382"/>
        <v>60</v>
      </c>
      <c r="Q808" s="104">
        <f t="shared" si="1362"/>
        <v>1E-3</v>
      </c>
      <c r="R808" s="20">
        <f t="shared" ref="R808:S808" si="1383">ROUND(R724,0)</f>
        <v>3</v>
      </c>
      <c r="S808" s="20">
        <f t="shared" si="1383"/>
        <v>1500</v>
      </c>
      <c r="T808" s="104">
        <f t="shared" si="1363"/>
        <v>0.1</v>
      </c>
      <c r="U808" s="123" t="s">
        <v>282</v>
      </c>
      <c r="V808" s="21"/>
      <c r="W808" s="58">
        <f t="shared" si="1256"/>
        <v>33095</v>
      </c>
      <c r="X808" s="102">
        <f t="shared" si="1257"/>
        <v>57.789700000000003</v>
      </c>
      <c r="Y808" s="102">
        <f t="shared" si="1258"/>
        <v>12.01</v>
      </c>
      <c r="Z808" s="21">
        <f t="shared" si="1259"/>
        <v>8195</v>
      </c>
      <c r="AA808" s="44">
        <f t="shared" si="1260"/>
        <v>0</v>
      </c>
      <c r="AB808" s="21">
        <f t="shared" si="1261"/>
        <v>7</v>
      </c>
      <c r="AC808" s="119">
        <f>ROUND(I808+mwreg!$G$87/100,3)</f>
        <v>-0.251</v>
      </c>
      <c r="AD808" s="108">
        <f>ROUND(J808+mwreg!$G$87/100,3)</f>
        <v>1.099</v>
      </c>
      <c r="AE808" s="108">
        <f>ROUND(K808+mwreg!$G$87/100,3)</f>
        <v>0.27</v>
      </c>
      <c r="AF808" s="102">
        <f t="shared" si="1368"/>
        <v>0.13189999999999999</v>
      </c>
      <c r="AG808" s="102" t="str">
        <f t="shared" si="1249"/>
        <v>NaN</v>
      </c>
      <c r="AH808" s="109" t="str">
        <f t="shared" si="1229"/>
        <v>NaN</v>
      </c>
      <c r="AI808" s="110">
        <f t="shared" si="1230"/>
        <v>180</v>
      </c>
      <c r="AJ808" s="110">
        <f t="shared" si="1231"/>
        <v>60</v>
      </c>
      <c r="AK808" s="108">
        <f t="shared" si="1232"/>
        <v>1E-3</v>
      </c>
      <c r="AL808" s="110">
        <f t="shared" si="1233"/>
        <v>3</v>
      </c>
      <c r="AM808" s="110">
        <f t="shared" si="1234"/>
        <v>1500</v>
      </c>
      <c r="AN808" s="108">
        <f t="shared" si="1235"/>
        <v>0.1</v>
      </c>
      <c r="AO808" s="186" t="str">
        <f t="shared" si="1236"/>
        <v>NaN</v>
      </c>
    </row>
    <row r="809" spans="1:41" x14ac:dyDescent="0.2">
      <c r="A809" s="3" t="s">
        <v>296</v>
      </c>
      <c r="B809" s="3" t="s">
        <v>296</v>
      </c>
      <c r="C809" s="52">
        <v>33095</v>
      </c>
      <c r="D809" s="160">
        <v>57.789700000000003</v>
      </c>
      <c r="E809" s="105">
        <v>12.01</v>
      </c>
      <c r="F809" s="20">
        <v>8195</v>
      </c>
      <c r="G809" s="18">
        <v>0</v>
      </c>
      <c r="H809" s="53">
        <v>8</v>
      </c>
      <c r="I809" s="167">
        <f t="shared" ref="I809:K809" si="1384">I773+0.075</f>
        <v>-0.33399999999999996</v>
      </c>
      <c r="J809" s="104">
        <f t="shared" si="1384"/>
        <v>1.042</v>
      </c>
      <c r="K809" s="104">
        <f t="shared" si="1384"/>
        <v>0.14599999999999999</v>
      </c>
      <c r="L809" s="105">
        <f t="shared" si="1360"/>
        <v>0.1409</v>
      </c>
      <c r="M809" s="105" t="s">
        <v>282</v>
      </c>
      <c r="N809" s="105" t="s">
        <v>282</v>
      </c>
      <c r="O809" s="20">
        <f t="shared" ref="O809:P809" si="1385">ROUND(O725,0)</f>
        <v>180</v>
      </c>
      <c r="P809" s="20">
        <f t="shared" si="1385"/>
        <v>60</v>
      </c>
      <c r="Q809" s="104">
        <f t="shared" si="1362"/>
        <v>1E-3</v>
      </c>
      <c r="R809" s="20">
        <f t="shared" ref="R809:S809" si="1386">ROUND(R725,0)</f>
        <v>3</v>
      </c>
      <c r="S809" s="20">
        <f t="shared" si="1386"/>
        <v>1500</v>
      </c>
      <c r="T809" s="104">
        <f t="shared" si="1363"/>
        <v>0.1</v>
      </c>
      <c r="U809" s="123" t="s">
        <v>282</v>
      </c>
      <c r="V809" s="21"/>
      <c r="W809" s="58">
        <f t="shared" si="1256"/>
        <v>33095</v>
      </c>
      <c r="X809" s="102">
        <f t="shared" si="1257"/>
        <v>57.789700000000003</v>
      </c>
      <c r="Y809" s="102">
        <f t="shared" si="1258"/>
        <v>12.01</v>
      </c>
      <c r="Z809" s="21">
        <f t="shared" si="1259"/>
        <v>8195</v>
      </c>
      <c r="AA809" s="44">
        <f t="shared" si="1260"/>
        <v>0</v>
      </c>
      <c r="AB809" s="21">
        <f t="shared" si="1261"/>
        <v>8</v>
      </c>
      <c r="AC809" s="119">
        <f>ROUND(I809+mwreg!$G$87/100,3)</f>
        <v>-0.187</v>
      </c>
      <c r="AD809" s="108">
        <f>ROUND(J809+mwreg!$G$87/100,3)</f>
        <v>1.1890000000000001</v>
      </c>
      <c r="AE809" s="108">
        <f>ROUND(K809+mwreg!$G$87/100,3)</f>
        <v>0.29299999999999998</v>
      </c>
      <c r="AF809" s="102">
        <f t="shared" si="1368"/>
        <v>0.1409</v>
      </c>
      <c r="AG809" s="102" t="str">
        <f t="shared" si="1249"/>
        <v>NaN</v>
      </c>
      <c r="AH809" s="109" t="str">
        <f t="shared" si="1229"/>
        <v>NaN</v>
      </c>
      <c r="AI809" s="110">
        <f t="shared" si="1230"/>
        <v>180</v>
      </c>
      <c r="AJ809" s="110">
        <f t="shared" si="1231"/>
        <v>60</v>
      </c>
      <c r="AK809" s="108">
        <f t="shared" si="1232"/>
        <v>1E-3</v>
      </c>
      <c r="AL809" s="110">
        <f t="shared" si="1233"/>
        <v>3</v>
      </c>
      <c r="AM809" s="110">
        <f t="shared" si="1234"/>
        <v>1500</v>
      </c>
      <c r="AN809" s="108">
        <f t="shared" si="1235"/>
        <v>0.1</v>
      </c>
      <c r="AO809" s="186" t="str">
        <f t="shared" si="1236"/>
        <v>NaN</v>
      </c>
    </row>
    <row r="810" spans="1:41" x14ac:dyDescent="0.2">
      <c r="A810" s="3" t="s">
        <v>296</v>
      </c>
      <c r="B810" s="3" t="s">
        <v>296</v>
      </c>
      <c r="C810" s="52">
        <v>33095</v>
      </c>
      <c r="D810" s="160">
        <v>57.789700000000003</v>
      </c>
      <c r="E810" s="105">
        <v>12.01</v>
      </c>
      <c r="F810" s="20">
        <v>8195</v>
      </c>
      <c r="G810" s="18">
        <v>0</v>
      </c>
      <c r="H810" s="53">
        <v>9</v>
      </c>
      <c r="I810" s="167">
        <f t="shared" ref="I810:K810" si="1387">I774+0.075</f>
        <v>-0.48300000000000004</v>
      </c>
      <c r="J810" s="104">
        <f t="shared" si="1387"/>
        <v>1.2769999999999999</v>
      </c>
      <c r="K810" s="104">
        <f t="shared" si="1387"/>
        <v>0.16799999999999998</v>
      </c>
      <c r="L810" s="105">
        <f t="shared" si="1360"/>
        <v>0.18759999999999999</v>
      </c>
      <c r="M810" s="105" t="s">
        <v>282</v>
      </c>
      <c r="N810" s="105" t="s">
        <v>282</v>
      </c>
      <c r="O810" s="20">
        <f t="shared" ref="O810:P810" si="1388">ROUND(O726,0)</f>
        <v>180</v>
      </c>
      <c r="P810" s="20">
        <f t="shared" si="1388"/>
        <v>60</v>
      </c>
      <c r="Q810" s="104">
        <f t="shared" si="1362"/>
        <v>1E-3</v>
      </c>
      <c r="R810" s="20">
        <f t="shared" ref="R810:S810" si="1389">ROUND(R726,0)</f>
        <v>3</v>
      </c>
      <c r="S810" s="20">
        <f t="shared" si="1389"/>
        <v>1500</v>
      </c>
      <c r="T810" s="104">
        <f t="shared" si="1363"/>
        <v>0.1</v>
      </c>
      <c r="U810" s="123" t="s">
        <v>282</v>
      </c>
      <c r="V810" s="21"/>
      <c r="W810" s="58">
        <f t="shared" si="1256"/>
        <v>33095</v>
      </c>
      <c r="X810" s="102">
        <f t="shared" si="1257"/>
        <v>57.789700000000003</v>
      </c>
      <c r="Y810" s="102">
        <f t="shared" si="1258"/>
        <v>12.01</v>
      </c>
      <c r="Z810" s="21">
        <f t="shared" si="1259"/>
        <v>8195</v>
      </c>
      <c r="AA810" s="44">
        <f t="shared" si="1260"/>
        <v>0</v>
      </c>
      <c r="AB810" s="21">
        <f t="shared" si="1261"/>
        <v>9</v>
      </c>
      <c r="AC810" s="119">
        <f>ROUND(I810+mwreg!$G$87/100,3)</f>
        <v>-0.33600000000000002</v>
      </c>
      <c r="AD810" s="108">
        <f>ROUND(J810+mwreg!$G$87/100,3)</f>
        <v>1.4239999999999999</v>
      </c>
      <c r="AE810" s="108">
        <f>ROUND(K810+mwreg!$G$87/100,3)</f>
        <v>0.315</v>
      </c>
      <c r="AF810" s="102">
        <f t="shared" si="1368"/>
        <v>0.18759999999999999</v>
      </c>
      <c r="AG810" s="102" t="str">
        <f t="shared" si="1249"/>
        <v>NaN</v>
      </c>
      <c r="AH810" s="109" t="str">
        <f t="shared" si="1229"/>
        <v>NaN</v>
      </c>
      <c r="AI810" s="110">
        <f t="shared" si="1230"/>
        <v>180</v>
      </c>
      <c r="AJ810" s="110">
        <f t="shared" si="1231"/>
        <v>60</v>
      </c>
      <c r="AK810" s="108">
        <f t="shared" si="1232"/>
        <v>1E-3</v>
      </c>
      <c r="AL810" s="110">
        <f t="shared" si="1233"/>
        <v>3</v>
      </c>
      <c r="AM810" s="110">
        <f t="shared" si="1234"/>
        <v>1500</v>
      </c>
      <c r="AN810" s="108">
        <f t="shared" si="1235"/>
        <v>0.1</v>
      </c>
      <c r="AO810" s="186" t="str">
        <f t="shared" si="1236"/>
        <v>NaN</v>
      </c>
    </row>
    <row r="811" spans="1:41" x14ac:dyDescent="0.2">
      <c r="A811" s="3" t="s">
        <v>296</v>
      </c>
      <c r="B811" s="3" t="s">
        <v>296</v>
      </c>
      <c r="C811" s="52">
        <v>33095</v>
      </c>
      <c r="D811" s="160">
        <v>57.789700000000003</v>
      </c>
      <c r="E811" s="105">
        <v>12.01</v>
      </c>
      <c r="F811" s="20">
        <v>8195</v>
      </c>
      <c r="G811" s="18">
        <v>0</v>
      </c>
      <c r="H811" s="53">
        <v>10</v>
      </c>
      <c r="I811" s="167">
        <f t="shared" ref="I811:K811" si="1390">I775+0.075</f>
        <v>-0.63800000000000001</v>
      </c>
      <c r="J811" s="104">
        <f t="shared" si="1390"/>
        <v>1.2889999999999999</v>
      </c>
      <c r="K811" s="104">
        <f t="shared" si="1390"/>
        <v>0.16099999999999998</v>
      </c>
      <c r="L811" s="105">
        <f t="shared" si="1360"/>
        <v>0.2142</v>
      </c>
      <c r="M811" s="105" t="s">
        <v>282</v>
      </c>
      <c r="N811" s="105" t="s">
        <v>282</v>
      </c>
      <c r="O811" s="20">
        <f t="shared" ref="O811:P811" si="1391">ROUND(O727,0)</f>
        <v>180</v>
      </c>
      <c r="P811" s="20">
        <f t="shared" si="1391"/>
        <v>60</v>
      </c>
      <c r="Q811" s="104">
        <f t="shared" si="1362"/>
        <v>1E-3</v>
      </c>
      <c r="R811" s="20">
        <f t="shared" ref="R811:S811" si="1392">ROUND(R727,0)</f>
        <v>3</v>
      </c>
      <c r="S811" s="20">
        <f t="shared" si="1392"/>
        <v>1500</v>
      </c>
      <c r="T811" s="104">
        <f t="shared" si="1363"/>
        <v>0.1</v>
      </c>
      <c r="U811" s="123" t="s">
        <v>282</v>
      </c>
      <c r="V811" s="21"/>
      <c r="W811" s="58">
        <f t="shared" si="1256"/>
        <v>33095</v>
      </c>
      <c r="X811" s="102">
        <f t="shared" si="1257"/>
        <v>57.789700000000003</v>
      </c>
      <c r="Y811" s="102">
        <f t="shared" si="1258"/>
        <v>12.01</v>
      </c>
      <c r="Z811" s="21">
        <f t="shared" si="1259"/>
        <v>8195</v>
      </c>
      <c r="AA811" s="44">
        <f t="shared" si="1260"/>
        <v>0</v>
      </c>
      <c r="AB811" s="21">
        <f t="shared" si="1261"/>
        <v>10</v>
      </c>
      <c r="AC811" s="119">
        <f>ROUND(I811+mwreg!$G$87/100,3)</f>
        <v>-0.49099999999999999</v>
      </c>
      <c r="AD811" s="108">
        <f>ROUND(J811+mwreg!$G$87/100,3)</f>
        <v>1.4359999999999999</v>
      </c>
      <c r="AE811" s="108">
        <f>ROUND(K811+mwreg!$G$87/100,3)</f>
        <v>0.308</v>
      </c>
      <c r="AF811" s="102">
        <f t="shared" si="1368"/>
        <v>0.2142</v>
      </c>
      <c r="AG811" s="102" t="str">
        <f t="shared" si="1249"/>
        <v>NaN</v>
      </c>
      <c r="AH811" s="109" t="str">
        <f t="shared" si="1229"/>
        <v>NaN</v>
      </c>
      <c r="AI811" s="110">
        <f t="shared" si="1230"/>
        <v>180</v>
      </c>
      <c r="AJ811" s="110">
        <f t="shared" si="1231"/>
        <v>60</v>
      </c>
      <c r="AK811" s="108">
        <f t="shared" si="1232"/>
        <v>1E-3</v>
      </c>
      <c r="AL811" s="110">
        <f t="shared" si="1233"/>
        <v>3</v>
      </c>
      <c r="AM811" s="110">
        <f t="shared" si="1234"/>
        <v>1500</v>
      </c>
      <c r="AN811" s="108">
        <f t="shared" si="1235"/>
        <v>0.1</v>
      </c>
      <c r="AO811" s="186" t="str">
        <f t="shared" si="1236"/>
        <v>NaN</v>
      </c>
    </row>
    <row r="812" spans="1:41" x14ac:dyDescent="0.2">
      <c r="A812" s="3" t="s">
        <v>296</v>
      </c>
      <c r="B812" s="3" t="s">
        <v>296</v>
      </c>
      <c r="C812" s="52">
        <v>33095</v>
      </c>
      <c r="D812" s="160">
        <v>57.789700000000003</v>
      </c>
      <c r="E812" s="105">
        <v>12.01</v>
      </c>
      <c r="F812" s="20">
        <v>8195</v>
      </c>
      <c r="G812" s="18">
        <v>0</v>
      </c>
      <c r="H812" s="53">
        <v>11</v>
      </c>
      <c r="I812" s="167">
        <f t="shared" ref="I812:K812" si="1393">I776+0.075</f>
        <v>-0.81800000000000006</v>
      </c>
      <c r="J812" s="104">
        <f t="shared" si="1393"/>
        <v>1.5759999999999998</v>
      </c>
      <c r="K812" s="104">
        <f t="shared" si="1393"/>
        <v>0.186</v>
      </c>
      <c r="L812" s="105">
        <f t="shared" si="1360"/>
        <v>0.2286</v>
      </c>
      <c r="M812" s="105" t="s">
        <v>282</v>
      </c>
      <c r="N812" s="105" t="s">
        <v>282</v>
      </c>
      <c r="O812" s="20">
        <f t="shared" ref="O812:P812" si="1394">ROUND(O728,0)</f>
        <v>180</v>
      </c>
      <c r="P812" s="20">
        <f t="shared" si="1394"/>
        <v>60</v>
      </c>
      <c r="Q812" s="104">
        <f t="shared" si="1362"/>
        <v>1E-3</v>
      </c>
      <c r="R812" s="20">
        <f t="shared" ref="R812:S812" si="1395">ROUND(R728,0)</f>
        <v>3</v>
      </c>
      <c r="S812" s="20">
        <f t="shared" si="1395"/>
        <v>1500</v>
      </c>
      <c r="T812" s="104">
        <f t="shared" si="1363"/>
        <v>0.1</v>
      </c>
      <c r="U812" s="123" t="s">
        <v>282</v>
      </c>
      <c r="V812" s="21"/>
      <c r="W812" s="58">
        <f t="shared" si="1256"/>
        <v>33095</v>
      </c>
      <c r="X812" s="102">
        <f t="shared" si="1257"/>
        <v>57.789700000000003</v>
      </c>
      <c r="Y812" s="102">
        <f t="shared" si="1258"/>
        <v>12.01</v>
      </c>
      <c r="Z812" s="21">
        <f t="shared" si="1259"/>
        <v>8195</v>
      </c>
      <c r="AA812" s="44">
        <f t="shared" si="1260"/>
        <v>0</v>
      </c>
      <c r="AB812" s="21">
        <f t="shared" si="1261"/>
        <v>11</v>
      </c>
      <c r="AC812" s="119">
        <f>ROUND(I812+mwreg!$G$87/100,3)</f>
        <v>-0.67100000000000004</v>
      </c>
      <c r="AD812" s="108">
        <f>ROUND(J812+mwreg!$G$87/100,3)</f>
        <v>1.7230000000000001</v>
      </c>
      <c r="AE812" s="108">
        <f>ROUND(K812+mwreg!$G$87/100,3)</f>
        <v>0.33300000000000002</v>
      </c>
      <c r="AF812" s="102">
        <f t="shared" si="1368"/>
        <v>0.2286</v>
      </c>
      <c r="AG812" s="102" t="str">
        <f t="shared" si="1249"/>
        <v>NaN</v>
      </c>
      <c r="AH812" s="109" t="str">
        <f t="shared" si="1229"/>
        <v>NaN</v>
      </c>
      <c r="AI812" s="110">
        <f t="shared" si="1230"/>
        <v>180</v>
      </c>
      <c r="AJ812" s="110">
        <f t="shared" si="1231"/>
        <v>60</v>
      </c>
      <c r="AK812" s="108">
        <f t="shared" si="1232"/>
        <v>1E-3</v>
      </c>
      <c r="AL812" s="110">
        <f t="shared" si="1233"/>
        <v>3</v>
      </c>
      <c r="AM812" s="110">
        <f t="shared" si="1234"/>
        <v>1500</v>
      </c>
      <c r="AN812" s="108">
        <f t="shared" si="1235"/>
        <v>0.1</v>
      </c>
      <c r="AO812" s="186" t="str">
        <f t="shared" si="1236"/>
        <v>NaN</v>
      </c>
    </row>
    <row r="813" spans="1:41" x14ac:dyDescent="0.2">
      <c r="A813" s="3" t="s">
        <v>296</v>
      </c>
      <c r="B813" s="3" t="s">
        <v>296</v>
      </c>
      <c r="C813" s="52">
        <v>33095</v>
      </c>
      <c r="D813" s="160">
        <v>57.789700000000003</v>
      </c>
      <c r="E813" s="105">
        <v>12.01</v>
      </c>
      <c r="F813" s="20">
        <v>8195</v>
      </c>
      <c r="G813" s="18">
        <v>0</v>
      </c>
      <c r="H813" s="53">
        <v>12</v>
      </c>
      <c r="I813" s="167">
        <f t="shared" ref="I813:K813" si="1396">I777+0.075</f>
        <v>-0.84300000000000008</v>
      </c>
      <c r="J813" s="104">
        <f t="shared" si="1396"/>
        <v>1.736</v>
      </c>
      <c r="K813" s="104">
        <f t="shared" si="1396"/>
        <v>0.16499999999999998</v>
      </c>
      <c r="L813" s="105">
        <f t="shared" si="1360"/>
        <v>0.2676</v>
      </c>
      <c r="M813" s="105" t="s">
        <v>282</v>
      </c>
      <c r="N813" s="105" t="s">
        <v>282</v>
      </c>
      <c r="O813" s="20">
        <f t="shared" ref="O813:P813" si="1397">ROUND(O729,0)</f>
        <v>180</v>
      </c>
      <c r="P813" s="20">
        <f t="shared" si="1397"/>
        <v>60</v>
      </c>
      <c r="Q813" s="104">
        <f t="shared" si="1362"/>
        <v>1E-3</v>
      </c>
      <c r="R813" s="20">
        <f t="shared" ref="R813:S813" si="1398">ROUND(R729,0)</f>
        <v>3</v>
      </c>
      <c r="S813" s="20">
        <f t="shared" si="1398"/>
        <v>1500</v>
      </c>
      <c r="T813" s="104">
        <f t="shared" si="1363"/>
        <v>0.1</v>
      </c>
      <c r="U813" s="123" t="s">
        <v>282</v>
      </c>
      <c r="V813" s="21"/>
      <c r="W813" s="58">
        <f t="shared" si="1256"/>
        <v>33095</v>
      </c>
      <c r="X813" s="102">
        <f t="shared" si="1257"/>
        <v>57.789700000000003</v>
      </c>
      <c r="Y813" s="102">
        <f t="shared" si="1258"/>
        <v>12.01</v>
      </c>
      <c r="Z813" s="21">
        <f t="shared" si="1259"/>
        <v>8195</v>
      </c>
      <c r="AA813" s="44">
        <f t="shared" si="1260"/>
        <v>0</v>
      </c>
      <c r="AB813" s="21">
        <f t="shared" si="1261"/>
        <v>12</v>
      </c>
      <c r="AC813" s="119">
        <f>ROUND(I813+mwreg!$G$87/100,3)</f>
        <v>-0.69599999999999995</v>
      </c>
      <c r="AD813" s="108">
        <f>ROUND(J813+mwreg!$G$87/100,3)</f>
        <v>1.883</v>
      </c>
      <c r="AE813" s="108">
        <f>ROUND(K813+mwreg!$G$87/100,3)</f>
        <v>0.312</v>
      </c>
      <c r="AF813" s="102">
        <f t="shared" si="1368"/>
        <v>0.2676</v>
      </c>
      <c r="AG813" s="102" t="str">
        <f t="shared" si="1249"/>
        <v>NaN</v>
      </c>
      <c r="AH813" s="109" t="str">
        <f t="shared" si="1229"/>
        <v>NaN</v>
      </c>
      <c r="AI813" s="110">
        <f t="shared" si="1230"/>
        <v>180</v>
      </c>
      <c r="AJ813" s="110">
        <f t="shared" si="1231"/>
        <v>60</v>
      </c>
      <c r="AK813" s="108">
        <f t="shared" si="1232"/>
        <v>1E-3</v>
      </c>
      <c r="AL813" s="110">
        <f t="shared" si="1233"/>
        <v>3</v>
      </c>
      <c r="AM813" s="110">
        <f t="shared" si="1234"/>
        <v>1500</v>
      </c>
      <c r="AN813" s="108">
        <f t="shared" si="1235"/>
        <v>0.1</v>
      </c>
      <c r="AO813" s="186" t="str">
        <f t="shared" si="1236"/>
        <v>NaN</v>
      </c>
    </row>
    <row r="814" spans="1:41" x14ac:dyDescent="0.2">
      <c r="A814" s="3" t="str">
        <f>stat_uppg!A78</f>
        <v>69/35104</v>
      </c>
      <c r="B814" s="3" t="str">
        <f>stat_uppg!B78</f>
        <v>MARSTRAND (SJÖV)</v>
      </c>
      <c r="C814" s="52">
        <v>35104</v>
      </c>
      <c r="D814" s="105">
        <v>57.887999999999998</v>
      </c>
      <c r="E814" s="105">
        <v>11.5732</v>
      </c>
      <c r="F814" s="20">
        <v>8195</v>
      </c>
      <c r="G814" s="18">
        <v>0</v>
      </c>
      <c r="H814" s="53">
        <v>1</v>
      </c>
      <c r="I814" s="167">
        <f t="shared" ref="I814:K825" si="1399">ROUND(0.618*I718+0.382*I826,3)</f>
        <v>-1.139</v>
      </c>
      <c r="J814" s="104">
        <f t="shared" si="1399"/>
        <v>1.444</v>
      </c>
      <c r="K814" s="104">
        <f t="shared" si="1399"/>
        <v>8.1000000000000003E-2</v>
      </c>
      <c r="L814" s="105">
        <f t="shared" ref="L814:L825" si="1400">ROUND(0.618*L718+0.382*L826,4)</f>
        <v>0.28110000000000002</v>
      </c>
      <c r="M814" s="105" t="s">
        <v>282</v>
      </c>
      <c r="N814" s="105" t="s">
        <v>282</v>
      </c>
      <c r="O814" s="20">
        <f>ROUND(0.618*O718+0.382*O826,0)</f>
        <v>180</v>
      </c>
      <c r="P814" s="20">
        <f>ROUND(0.618*P718+0.382*P826,0)</f>
        <v>60</v>
      </c>
      <c r="Q814" s="104">
        <f t="shared" ref="Q814:Q825" si="1401">ROUND(0.618*Q718+0.382*Q826,3)</f>
        <v>1E-3</v>
      </c>
      <c r="R814" s="20">
        <f>ROUND(0.618*R718+0.382*R826,0)</f>
        <v>3</v>
      </c>
      <c r="S814" s="20">
        <f>ROUND(0.618*S718+0.382*S826,0)</f>
        <v>1500</v>
      </c>
      <c r="T814" s="104">
        <f t="shared" ref="T814:T825" si="1402">ROUND(0.618*T718+0.382*T826,3)</f>
        <v>0.1</v>
      </c>
      <c r="U814" s="123" t="s">
        <v>282</v>
      </c>
      <c r="V814" s="21"/>
      <c r="W814" s="58">
        <f t="shared" si="1192"/>
        <v>35104</v>
      </c>
      <c r="X814" s="102">
        <f t="shared" si="1193"/>
        <v>57.887999999999998</v>
      </c>
      <c r="Y814" s="102">
        <f t="shared" si="1194"/>
        <v>11.5732</v>
      </c>
      <c r="Z814" s="21">
        <f t="shared" si="1195"/>
        <v>8195</v>
      </c>
      <c r="AA814" s="44">
        <f t="shared" si="1196"/>
        <v>0</v>
      </c>
      <c r="AB814" s="21">
        <f t="shared" si="1185"/>
        <v>1</v>
      </c>
      <c r="AC814" s="119">
        <f>ROUND(I814+mwreg!$G$88/100,3)</f>
        <v>-1.131</v>
      </c>
      <c r="AD814" s="108">
        <f>ROUND(J814+mwreg!$G$88/100,3)</f>
        <v>1.452</v>
      </c>
      <c r="AE814" s="108">
        <f>ROUND(K814+mwreg!$G$88/100,3)</f>
        <v>8.8999999999999996E-2</v>
      </c>
      <c r="AF814" s="102">
        <f t="shared" si="1364"/>
        <v>0.28110000000000002</v>
      </c>
      <c r="AG814" s="102" t="str">
        <f t="shared" si="1249"/>
        <v>NaN</v>
      </c>
      <c r="AH814" s="109" t="str">
        <f t="shared" si="1229"/>
        <v>NaN</v>
      </c>
      <c r="AI814" s="110">
        <f t="shared" si="1230"/>
        <v>180</v>
      </c>
      <c r="AJ814" s="110">
        <f t="shared" si="1231"/>
        <v>60</v>
      </c>
      <c r="AK814" s="108">
        <f t="shared" si="1232"/>
        <v>1E-3</v>
      </c>
      <c r="AL814" s="110">
        <f t="shared" si="1233"/>
        <v>3</v>
      </c>
      <c r="AM814" s="110">
        <f t="shared" si="1234"/>
        <v>1500</v>
      </c>
      <c r="AN814" s="108">
        <f t="shared" si="1235"/>
        <v>0.1</v>
      </c>
      <c r="AO814" s="186" t="str">
        <f t="shared" si="1236"/>
        <v>NaN</v>
      </c>
    </row>
    <row r="815" spans="1:41" x14ac:dyDescent="0.2">
      <c r="A815" s="3" t="s">
        <v>296</v>
      </c>
      <c r="B815" s="3" t="s">
        <v>296</v>
      </c>
      <c r="C815" s="52">
        <v>35104</v>
      </c>
      <c r="D815" s="105">
        <v>57.887999999999998</v>
      </c>
      <c r="E815" s="105">
        <v>11.5732</v>
      </c>
      <c r="F815" s="20">
        <v>8195</v>
      </c>
      <c r="G815" s="18">
        <v>0</v>
      </c>
      <c r="H815" s="53">
        <v>2</v>
      </c>
      <c r="I815" s="167">
        <f t="shared" si="1399"/>
        <v>-0.83199999999999996</v>
      </c>
      <c r="J815" s="104">
        <f t="shared" si="1399"/>
        <v>1.4339999999999999</v>
      </c>
      <c r="K815" s="104">
        <f t="shared" si="1399"/>
        <v>-6.0000000000000001E-3</v>
      </c>
      <c r="L815" s="105">
        <f t="shared" si="1400"/>
        <v>0.26740000000000003</v>
      </c>
      <c r="M815" s="105" t="s">
        <v>282</v>
      </c>
      <c r="N815" s="105" t="s">
        <v>282</v>
      </c>
      <c r="O815" s="20">
        <f t="shared" ref="O815:P815" si="1403">ROUND(0.618*O719+0.382*O827,0)</f>
        <v>180</v>
      </c>
      <c r="P815" s="20">
        <f t="shared" si="1403"/>
        <v>60</v>
      </c>
      <c r="Q815" s="104">
        <f t="shared" si="1401"/>
        <v>1E-3</v>
      </c>
      <c r="R815" s="20">
        <f t="shared" ref="R815:S815" si="1404">ROUND(0.618*R719+0.382*R827,0)</f>
        <v>3</v>
      </c>
      <c r="S815" s="20">
        <f t="shared" si="1404"/>
        <v>1500</v>
      </c>
      <c r="T815" s="104">
        <f t="shared" si="1402"/>
        <v>0.1</v>
      </c>
      <c r="U815" s="123" t="s">
        <v>282</v>
      </c>
      <c r="V815" s="21"/>
      <c r="W815" s="58">
        <f t="shared" si="1192"/>
        <v>35104</v>
      </c>
      <c r="X815" s="102">
        <f t="shared" si="1193"/>
        <v>57.887999999999998</v>
      </c>
      <c r="Y815" s="102">
        <f t="shared" si="1194"/>
        <v>11.5732</v>
      </c>
      <c r="Z815" s="21">
        <f t="shared" si="1195"/>
        <v>8195</v>
      </c>
      <c r="AA815" s="44">
        <f t="shared" si="1196"/>
        <v>0</v>
      </c>
      <c r="AB815" s="21">
        <f t="shared" si="1185"/>
        <v>2</v>
      </c>
      <c r="AC815" s="119">
        <f>ROUND(I815+mwreg!$G$88/100,3)</f>
        <v>-0.82399999999999995</v>
      </c>
      <c r="AD815" s="108">
        <f>ROUND(J815+mwreg!$G$88/100,3)</f>
        <v>1.4419999999999999</v>
      </c>
      <c r="AE815" s="108">
        <f>ROUND(K815+mwreg!$G$88/100,3)</f>
        <v>2E-3</v>
      </c>
      <c r="AF815" s="102">
        <f t="shared" ref="AF815:AF825" si="1405">L815</f>
        <v>0.26740000000000003</v>
      </c>
      <c r="AG815" s="102" t="str">
        <f t="shared" si="1249"/>
        <v>NaN</v>
      </c>
      <c r="AH815" s="109" t="str">
        <f t="shared" si="1216"/>
        <v>NaN</v>
      </c>
      <c r="AI815" s="110">
        <f t="shared" si="1217"/>
        <v>180</v>
      </c>
      <c r="AJ815" s="110">
        <f t="shared" si="1218"/>
        <v>60</v>
      </c>
      <c r="AK815" s="108">
        <f t="shared" si="1219"/>
        <v>1E-3</v>
      </c>
      <c r="AL815" s="110">
        <f t="shared" si="1220"/>
        <v>3</v>
      </c>
      <c r="AM815" s="110">
        <f t="shared" si="1221"/>
        <v>1500</v>
      </c>
      <c r="AN815" s="108">
        <f t="shared" si="1222"/>
        <v>0.1</v>
      </c>
      <c r="AO815" s="186" t="str">
        <f t="shared" si="1223"/>
        <v>NaN</v>
      </c>
    </row>
    <row r="816" spans="1:41" x14ac:dyDescent="0.2">
      <c r="A816" s="3" t="s">
        <v>296</v>
      </c>
      <c r="B816" s="3" t="s">
        <v>296</v>
      </c>
      <c r="C816" s="52">
        <v>35104</v>
      </c>
      <c r="D816" s="105">
        <v>57.887999999999998</v>
      </c>
      <c r="E816" s="105">
        <v>11.5732</v>
      </c>
      <c r="F816" s="20">
        <v>8195</v>
      </c>
      <c r="G816" s="18">
        <v>0</v>
      </c>
      <c r="H816" s="53">
        <v>3</v>
      </c>
      <c r="I816" s="167">
        <f t="shared" si="1399"/>
        <v>-0.84899999999999998</v>
      </c>
      <c r="J816" s="104">
        <f t="shared" si="1399"/>
        <v>1.2490000000000001</v>
      </c>
      <c r="K816" s="104">
        <f t="shared" si="1399"/>
        <v>-4.9000000000000002E-2</v>
      </c>
      <c r="L816" s="105">
        <f t="shared" si="1400"/>
        <v>0.2364</v>
      </c>
      <c r="M816" s="105" t="s">
        <v>282</v>
      </c>
      <c r="N816" s="105" t="s">
        <v>282</v>
      </c>
      <c r="O816" s="20">
        <f t="shared" ref="O816:P816" si="1406">ROUND(0.618*O720+0.382*O828,0)</f>
        <v>180</v>
      </c>
      <c r="P816" s="20">
        <f t="shared" si="1406"/>
        <v>60</v>
      </c>
      <c r="Q816" s="104">
        <f t="shared" si="1401"/>
        <v>1E-3</v>
      </c>
      <c r="R816" s="20">
        <f t="shared" ref="R816:S816" si="1407">ROUND(0.618*R720+0.382*R828,0)</f>
        <v>3</v>
      </c>
      <c r="S816" s="20">
        <f t="shared" si="1407"/>
        <v>1500</v>
      </c>
      <c r="T816" s="104">
        <f t="shared" si="1402"/>
        <v>0.1</v>
      </c>
      <c r="U816" s="123" t="s">
        <v>282</v>
      </c>
      <c r="V816" s="21"/>
      <c r="W816" s="58">
        <f t="shared" si="1192"/>
        <v>35104</v>
      </c>
      <c r="X816" s="102">
        <f t="shared" si="1193"/>
        <v>57.887999999999998</v>
      </c>
      <c r="Y816" s="102">
        <f t="shared" si="1194"/>
        <v>11.5732</v>
      </c>
      <c r="Z816" s="21">
        <f t="shared" si="1195"/>
        <v>8195</v>
      </c>
      <c r="AA816" s="44">
        <f t="shared" si="1196"/>
        <v>0</v>
      </c>
      <c r="AB816" s="21">
        <f t="shared" si="1185"/>
        <v>3</v>
      </c>
      <c r="AC816" s="119">
        <f>ROUND(I816+mwreg!$G$88/100,3)</f>
        <v>-0.84099999999999997</v>
      </c>
      <c r="AD816" s="108">
        <f>ROUND(J816+mwreg!$G$88/100,3)</f>
        <v>1.2569999999999999</v>
      </c>
      <c r="AE816" s="108">
        <f>ROUND(K816+mwreg!$G$88/100,3)</f>
        <v>-4.1000000000000002E-2</v>
      </c>
      <c r="AF816" s="102">
        <f t="shared" si="1405"/>
        <v>0.2364</v>
      </c>
      <c r="AG816" s="102" t="str">
        <f t="shared" si="1249"/>
        <v>NaN</v>
      </c>
      <c r="AH816" s="109" t="str">
        <f t="shared" si="1216"/>
        <v>NaN</v>
      </c>
      <c r="AI816" s="110">
        <f t="shared" si="1217"/>
        <v>180</v>
      </c>
      <c r="AJ816" s="110">
        <f t="shared" si="1218"/>
        <v>60</v>
      </c>
      <c r="AK816" s="108">
        <f t="shared" si="1219"/>
        <v>1E-3</v>
      </c>
      <c r="AL816" s="110">
        <f t="shared" si="1220"/>
        <v>3</v>
      </c>
      <c r="AM816" s="110">
        <f t="shared" si="1221"/>
        <v>1500</v>
      </c>
      <c r="AN816" s="108">
        <f t="shared" si="1222"/>
        <v>0.1</v>
      </c>
      <c r="AO816" s="186" t="str">
        <f t="shared" si="1223"/>
        <v>NaN</v>
      </c>
    </row>
    <row r="817" spans="1:41" x14ac:dyDescent="0.2">
      <c r="A817" s="3" t="s">
        <v>296</v>
      </c>
      <c r="B817" s="3" t="s">
        <v>296</v>
      </c>
      <c r="C817" s="52">
        <v>35104</v>
      </c>
      <c r="D817" s="105">
        <v>57.887999999999998</v>
      </c>
      <c r="E817" s="105">
        <v>11.5732</v>
      </c>
      <c r="F817" s="20">
        <v>8195</v>
      </c>
      <c r="G817" s="18">
        <v>0</v>
      </c>
      <c r="H817" s="53">
        <v>4</v>
      </c>
      <c r="I817" s="167">
        <f t="shared" si="1399"/>
        <v>-0.73199999999999998</v>
      </c>
      <c r="J817" s="104">
        <f t="shared" si="1399"/>
        <v>0.89100000000000001</v>
      </c>
      <c r="K817" s="104">
        <f t="shared" si="1399"/>
        <v>-9.1999999999999998E-2</v>
      </c>
      <c r="L817" s="105">
        <f t="shared" si="1400"/>
        <v>0.16619999999999999</v>
      </c>
      <c r="M817" s="105" t="s">
        <v>282</v>
      </c>
      <c r="N817" s="105" t="s">
        <v>282</v>
      </c>
      <c r="O817" s="20">
        <f t="shared" ref="O817:P817" si="1408">ROUND(0.618*O721+0.382*O829,0)</f>
        <v>180</v>
      </c>
      <c r="P817" s="20">
        <f t="shared" si="1408"/>
        <v>60</v>
      </c>
      <c r="Q817" s="104">
        <f t="shared" si="1401"/>
        <v>1E-3</v>
      </c>
      <c r="R817" s="20">
        <f t="shared" ref="R817:S817" si="1409">ROUND(0.618*R721+0.382*R829,0)</f>
        <v>3</v>
      </c>
      <c r="S817" s="20">
        <f t="shared" si="1409"/>
        <v>1500</v>
      </c>
      <c r="T817" s="104">
        <f t="shared" si="1402"/>
        <v>0.1</v>
      </c>
      <c r="U817" s="123" t="s">
        <v>282</v>
      </c>
      <c r="V817" s="21"/>
      <c r="W817" s="58">
        <f t="shared" si="1192"/>
        <v>35104</v>
      </c>
      <c r="X817" s="102">
        <f t="shared" si="1193"/>
        <v>57.887999999999998</v>
      </c>
      <c r="Y817" s="102">
        <f t="shared" si="1194"/>
        <v>11.5732</v>
      </c>
      <c r="Z817" s="21">
        <f t="shared" si="1195"/>
        <v>8195</v>
      </c>
      <c r="AA817" s="44">
        <f t="shared" si="1196"/>
        <v>0</v>
      </c>
      <c r="AB817" s="21">
        <f t="shared" si="1185"/>
        <v>4</v>
      </c>
      <c r="AC817" s="119">
        <f>ROUND(I817+mwreg!$G$88/100,3)</f>
        <v>-0.72399999999999998</v>
      </c>
      <c r="AD817" s="108">
        <f>ROUND(J817+mwreg!$G$88/100,3)</f>
        <v>0.89900000000000002</v>
      </c>
      <c r="AE817" s="108">
        <f>ROUND(K817+mwreg!$G$88/100,3)</f>
        <v>-8.4000000000000005E-2</v>
      </c>
      <c r="AF817" s="102">
        <f t="shared" si="1405"/>
        <v>0.16619999999999999</v>
      </c>
      <c r="AG817" s="102" t="str">
        <f t="shared" si="1249"/>
        <v>NaN</v>
      </c>
      <c r="AH817" s="109" t="str">
        <f t="shared" si="1216"/>
        <v>NaN</v>
      </c>
      <c r="AI817" s="110">
        <f t="shared" si="1217"/>
        <v>180</v>
      </c>
      <c r="AJ817" s="110">
        <f t="shared" si="1218"/>
        <v>60</v>
      </c>
      <c r="AK817" s="108">
        <f t="shared" si="1219"/>
        <v>1E-3</v>
      </c>
      <c r="AL817" s="110">
        <f t="shared" si="1220"/>
        <v>3</v>
      </c>
      <c r="AM817" s="110">
        <f t="shared" si="1221"/>
        <v>1500</v>
      </c>
      <c r="AN817" s="108">
        <f t="shared" si="1222"/>
        <v>0.1</v>
      </c>
      <c r="AO817" s="186" t="str">
        <f t="shared" si="1223"/>
        <v>NaN</v>
      </c>
    </row>
    <row r="818" spans="1:41" x14ac:dyDescent="0.2">
      <c r="A818" s="3" t="s">
        <v>296</v>
      </c>
      <c r="B818" s="3" t="s">
        <v>296</v>
      </c>
      <c r="C818" s="52">
        <v>35104</v>
      </c>
      <c r="D818" s="105">
        <v>57.887999999999998</v>
      </c>
      <c r="E818" s="105">
        <v>11.5732</v>
      </c>
      <c r="F818" s="20">
        <v>8195</v>
      </c>
      <c r="G818" s="18">
        <v>0</v>
      </c>
      <c r="H818" s="53">
        <v>5</v>
      </c>
      <c r="I818" s="167">
        <f t="shared" si="1399"/>
        <v>-0.61599999999999999</v>
      </c>
      <c r="J818" s="104">
        <f t="shared" si="1399"/>
        <v>0.65900000000000003</v>
      </c>
      <c r="K818" s="104">
        <f t="shared" si="1399"/>
        <v>-6.4000000000000001E-2</v>
      </c>
      <c r="L818" s="105">
        <f t="shared" si="1400"/>
        <v>0.15140000000000001</v>
      </c>
      <c r="M818" s="105" t="s">
        <v>282</v>
      </c>
      <c r="N818" s="105" t="s">
        <v>282</v>
      </c>
      <c r="O818" s="20">
        <f t="shared" ref="O818:P818" si="1410">ROUND(0.618*O722+0.382*O830,0)</f>
        <v>180</v>
      </c>
      <c r="P818" s="20">
        <f t="shared" si="1410"/>
        <v>60</v>
      </c>
      <c r="Q818" s="104">
        <f t="shared" si="1401"/>
        <v>1E-3</v>
      </c>
      <c r="R818" s="20">
        <f t="shared" ref="R818:S818" si="1411">ROUND(0.618*R722+0.382*R830,0)</f>
        <v>3</v>
      </c>
      <c r="S818" s="20">
        <f t="shared" si="1411"/>
        <v>1500</v>
      </c>
      <c r="T818" s="104">
        <f t="shared" si="1402"/>
        <v>0.1</v>
      </c>
      <c r="U818" s="123" t="s">
        <v>282</v>
      </c>
      <c r="V818" s="21"/>
      <c r="W818" s="58">
        <f t="shared" si="1192"/>
        <v>35104</v>
      </c>
      <c r="X818" s="102">
        <f t="shared" si="1193"/>
        <v>57.887999999999998</v>
      </c>
      <c r="Y818" s="102">
        <f t="shared" si="1194"/>
        <v>11.5732</v>
      </c>
      <c r="Z818" s="21">
        <f t="shared" si="1195"/>
        <v>8195</v>
      </c>
      <c r="AA818" s="44">
        <f t="shared" si="1196"/>
        <v>0</v>
      </c>
      <c r="AB818" s="21">
        <f t="shared" si="1185"/>
        <v>5</v>
      </c>
      <c r="AC818" s="119">
        <f>ROUND(I818+mwreg!$G$88/100,3)</f>
        <v>-0.60799999999999998</v>
      </c>
      <c r="AD818" s="108">
        <f>ROUND(J818+mwreg!$G$88/100,3)</f>
        <v>0.66700000000000004</v>
      </c>
      <c r="AE818" s="108">
        <f>ROUND(K818+mwreg!$G$88/100,3)</f>
        <v>-5.6000000000000001E-2</v>
      </c>
      <c r="AF818" s="102">
        <f t="shared" si="1405"/>
        <v>0.15140000000000001</v>
      </c>
      <c r="AG818" s="102" t="str">
        <f t="shared" si="1249"/>
        <v>NaN</v>
      </c>
      <c r="AH818" s="109" t="str">
        <f t="shared" si="1216"/>
        <v>NaN</v>
      </c>
      <c r="AI818" s="110">
        <f t="shared" si="1217"/>
        <v>180</v>
      </c>
      <c r="AJ818" s="110">
        <f t="shared" si="1218"/>
        <v>60</v>
      </c>
      <c r="AK818" s="108">
        <f t="shared" si="1219"/>
        <v>1E-3</v>
      </c>
      <c r="AL818" s="110">
        <f t="shared" si="1220"/>
        <v>3</v>
      </c>
      <c r="AM818" s="110">
        <f t="shared" si="1221"/>
        <v>1500</v>
      </c>
      <c r="AN818" s="108">
        <f t="shared" si="1222"/>
        <v>0.1</v>
      </c>
      <c r="AO818" s="186" t="str">
        <f t="shared" si="1223"/>
        <v>NaN</v>
      </c>
    </row>
    <row r="819" spans="1:41" x14ac:dyDescent="0.2">
      <c r="A819" s="3" t="s">
        <v>296</v>
      </c>
      <c r="B819" s="3" t="s">
        <v>296</v>
      </c>
      <c r="C819" s="52">
        <v>35104</v>
      </c>
      <c r="D819" s="105">
        <v>57.887999999999998</v>
      </c>
      <c r="E819" s="105">
        <v>11.5732</v>
      </c>
      <c r="F819" s="20">
        <v>8195</v>
      </c>
      <c r="G819" s="18">
        <v>0</v>
      </c>
      <c r="H819" s="53">
        <v>6</v>
      </c>
      <c r="I819" s="167">
        <f t="shared" si="1399"/>
        <v>-0.505</v>
      </c>
      <c r="J819" s="104">
        <f t="shared" si="1399"/>
        <v>0.69599999999999995</v>
      </c>
      <c r="K819" s="104">
        <f t="shared" si="1399"/>
        <v>-0.01</v>
      </c>
      <c r="L819" s="105">
        <f t="shared" si="1400"/>
        <v>0.1462</v>
      </c>
      <c r="M819" s="105" t="s">
        <v>282</v>
      </c>
      <c r="N819" s="105" t="s">
        <v>282</v>
      </c>
      <c r="O819" s="20">
        <f t="shared" ref="O819:P819" si="1412">ROUND(0.618*O723+0.382*O831,0)</f>
        <v>180</v>
      </c>
      <c r="P819" s="20">
        <f t="shared" si="1412"/>
        <v>60</v>
      </c>
      <c r="Q819" s="104">
        <f t="shared" si="1401"/>
        <v>1E-3</v>
      </c>
      <c r="R819" s="20">
        <f t="shared" ref="R819:S819" si="1413">ROUND(0.618*R723+0.382*R831,0)</f>
        <v>3</v>
      </c>
      <c r="S819" s="20">
        <f t="shared" si="1413"/>
        <v>1500</v>
      </c>
      <c r="T819" s="104">
        <f t="shared" si="1402"/>
        <v>0.1</v>
      </c>
      <c r="U819" s="123" t="s">
        <v>282</v>
      </c>
      <c r="V819" s="21"/>
      <c r="W819" s="58">
        <f t="shared" si="1192"/>
        <v>35104</v>
      </c>
      <c r="X819" s="102">
        <f t="shared" si="1193"/>
        <v>57.887999999999998</v>
      </c>
      <c r="Y819" s="102">
        <f t="shared" si="1194"/>
        <v>11.5732</v>
      </c>
      <c r="Z819" s="21">
        <f t="shared" si="1195"/>
        <v>8195</v>
      </c>
      <c r="AA819" s="44">
        <f t="shared" si="1196"/>
        <v>0</v>
      </c>
      <c r="AB819" s="21">
        <f t="shared" si="1185"/>
        <v>6</v>
      </c>
      <c r="AC819" s="119">
        <f>ROUND(I819+mwreg!$G$88/100,3)</f>
        <v>-0.497</v>
      </c>
      <c r="AD819" s="108">
        <f>ROUND(J819+mwreg!$G$88/100,3)</f>
        <v>0.70399999999999996</v>
      </c>
      <c r="AE819" s="108">
        <f>ROUND(K819+mwreg!$G$88/100,3)</f>
        <v>-2E-3</v>
      </c>
      <c r="AF819" s="102">
        <f t="shared" si="1405"/>
        <v>0.1462</v>
      </c>
      <c r="AG819" s="102" t="str">
        <f t="shared" si="1249"/>
        <v>NaN</v>
      </c>
      <c r="AH819" s="109" t="str">
        <f t="shared" si="1216"/>
        <v>NaN</v>
      </c>
      <c r="AI819" s="110">
        <f t="shared" si="1217"/>
        <v>180</v>
      </c>
      <c r="AJ819" s="110">
        <f t="shared" si="1218"/>
        <v>60</v>
      </c>
      <c r="AK819" s="108">
        <f t="shared" si="1219"/>
        <v>1E-3</v>
      </c>
      <c r="AL819" s="110">
        <f t="shared" si="1220"/>
        <v>3</v>
      </c>
      <c r="AM819" s="110">
        <f t="shared" si="1221"/>
        <v>1500</v>
      </c>
      <c r="AN819" s="108">
        <f t="shared" si="1222"/>
        <v>0.1</v>
      </c>
      <c r="AO819" s="186" t="str">
        <f t="shared" si="1223"/>
        <v>NaN</v>
      </c>
    </row>
    <row r="820" spans="1:41" x14ac:dyDescent="0.2">
      <c r="A820" s="3" t="s">
        <v>296</v>
      </c>
      <c r="B820" s="3" t="s">
        <v>296</v>
      </c>
      <c r="C820" s="52">
        <v>35104</v>
      </c>
      <c r="D820" s="105">
        <v>57.887999999999998</v>
      </c>
      <c r="E820" s="105">
        <v>11.5732</v>
      </c>
      <c r="F820" s="20">
        <v>8195</v>
      </c>
      <c r="G820" s="18">
        <v>0</v>
      </c>
      <c r="H820" s="53">
        <v>7</v>
      </c>
      <c r="I820" s="167">
        <f t="shared" si="1399"/>
        <v>-0.42699999999999999</v>
      </c>
      <c r="J820" s="104">
        <f t="shared" si="1399"/>
        <v>0.82699999999999996</v>
      </c>
      <c r="K820" s="104">
        <f t="shared" si="1399"/>
        <v>4.7E-2</v>
      </c>
      <c r="L820" s="105">
        <f t="shared" si="1400"/>
        <v>0.14449999999999999</v>
      </c>
      <c r="M820" s="105" t="s">
        <v>282</v>
      </c>
      <c r="N820" s="105" t="s">
        <v>282</v>
      </c>
      <c r="O820" s="20">
        <f t="shared" ref="O820:P820" si="1414">ROUND(0.618*O724+0.382*O832,0)</f>
        <v>180</v>
      </c>
      <c r="P820" s="20">
        <f t="shared" si="1414"/>
        <v>60</v>
      </c>
      <c r="Q820" s="104">
        <f t="shared" si="1401"/>
        <v>1E-3</v>
      </c>
      <c r="R820" s="20">
        <f t="shared" ref="R820:S820" si="1415">ROUND(0.618*R724+0.382*R832,0)</f>
        <v>3</v>
      </c>
      <c r="S820" s="20">
        <f t="shared" si="1415"/>
        <v>1500</v>
      </c>
      <c r="T820" s="104">
        <f t="shared" si="1402"/>
        <v>0.1</v>
      </c>
      <c r="U820" s="123" t="s">
        <v>282</v>
      </c>
      <c r="V820" s="21"/>
      <c r="W820" s="58">
        <f t="shared" si="1192"/>
        <v>35104</v>
      </c>
      <c r="X820" s="102">
        <f t="shared" si="1193"/>
        <v>57.887999999999998</v>
      </c>
      <c r="Y820" s="102">
        <f t="shared" si="1194"/>
        <v>11.5732</v>
      </c>
      <c r="Z820" s="21">
        <f t="shared" si="1195"/>
        <v>8195</v>
      </c>
      <c r="AA820" s="44">
        <f t="shared" si="1196"/>
        <v>0</v>
      </c>
      <c r="AB820" s="21">
        <f t="shared" si="1185"/>
        <v>7</v>
      </c>
      <c r="AC820" s="119">
        <f>ROUND(I820+mwreg!$G$88/100,3)</f>
        <v>-0.41899999999999998</v>
      </c>
      <c r="AD820" s="108">
        <f>ROUND(J820+mwreg!$G$88/100,3)</f>
        <v>0.83499999999999996</v>
      </c>
      <c r="AE820" s="108">
        <f>ROUND(K820+mwreg!$G$88/100,3)</f>
        <v>5.5E-2</v>
      </c>
      <c r="AF820" s="102">
        <f t="shared" si="1405"/>
        <v>0.14449999999999999</v>
      </c>
      <c r="AG820" s="102" t="str">
        <f t="shared" si="1249"/>
        <v>NaN</v>
      </c>
      <c r="AH820" s="109" t="str">
        <f t="shared" si="1216"/>
        <v>NaN</v>
      </c>
      <c r="AI820" s="110">
        <f t="shared" si="1217"/>
        <v>180</v>
      </c>
      <c r="AJ820" s="110">
        <f t="shared" si="1218"/>
        <v>60</v>
      </c>
      <c r="AK820" s="108">
        <f t="shared" si="1219"/>
        <v>1E-3</v>
      </c>
      <c r="AL820" s="110">
        <f t="shared" si="1220"/>
        <v>3</v>
      </c>
      <c r="AM820" s="110">
        <f t="shared" si="1221"/>
        <v>1500</v>
      </c>
      <c r="AN820" s="108">
        <f t="shared" si="1222"/>
        <v>0.1</v>
      </c>
      <c r="AO820" s="186" t="str">
        <f t="shared" si="1223"/>
        <v>NaN</v>
      </c>
    </row>
    <row r="821" spans="1:41" x14ac:dyDescent="0.2">
      <c r="A821" s="3" t="s">
        <v>296</v>
      </c>
      <c r="B821" s="3" t="s">
        <v>296</v>
      </c>
      <c r="C821" s="52">
        <v>35104</v>
      </c>
      <c r="D821" s="105">
        <v>57.887999999999998</v>
      </c>
      <c r="E821" s="105">
        <v>11.5732</v>
      </c>
      <c r="F821" s="20">
        <v>8195</v>
      </c>
      <c r="G821" s="18">
        <v>0</v>
      </c>
      <c r="H821" s="53">
        <v>8</v>
      </c>
      <c r="I821" s="167">
        <f t="shared" si="1399"/>
        <v>-0.41599999999999998</v>
      </c>
      <c r="J821" s="104">
        <f t="shared" si="1399"/>
        <v>0.83499999999999996</v>
      </c>
      <c r="K821" s="104">
        <f t="shared" si="1399"/>
        <v>7.1999999999999995E-2</v>
      </c>
      <c r="L821" s="105">
        <f t="shared" si="1400"/>
        <v>0.1477</v>
      </c>
      <c r="M821" s="105" t="s">
        <v>282</v>
      </c>
      <c r="N821" s="105" t="s">
        <v>282</v>
      </c>
      <c r="O821" s="20">
        <f t="shared" ref="O821:P821" si="1416">ROUND(0.618*O725+0.382*O833,0)</f>
        <v>180</v>
      </c>
      <c r="P821" s="20">
        <f t="shared" si="1416"/>
        <v>60</v>
      </c>
      <c r="Q821" s="104">
        <f t="shared" si="1401"/>
        <v>1E-3</v>
      </c>
      <c r="R821" s="20">
        <f t="shared" ref="R821:S821" si="1417">ROUND(0.618*R725+0.382*R833,0)</f>
        <v>3</v>
      </c>
      <c r="S821" s="20">
        <f t="shared" si="1417"/>
        <v>1500</v>
      </c>
      <c r="T821" s="104">
        <f t="shared" si="1402"/>
        <v>0.1</v>
      </c>
      <c r="U821" s="123" t="s">
        <v>282</v>
      </c>
      <c r="V821" s="21"/>
      <c r="W821" s="58">
        <f t="shared" si="1192"/>
        <v>35104</v>
      </c>
      <c r="X821" s="102">
        <f t="shared" si="1193"/>
        <v>57.887999999999998</v>
      </c>
      <c r="Y821" s="102">
        <f t="shared" si="1194"/>
        <v>11.5732</v>
      </c>
      <c r="Z821" s="21">
        <f t="shared" si="1195"/>
        <v>8195</v>
      </c>
      <c r="AA821" s="44">
        <f t="shared" si="1196"/>
        <v>0</v>
      </c>
      <c r="AB821" s="21">
        <f t="shared" si="1185"/>
        <v>8</v>
      </c>
      <c r="AC821" s="119">
        <f>ROUND(I821+mwreg!$G$88/100,3)</f>
        <v>-0.40799999999999997</v>
      </c>
      <c r="AD821" s="108">
        <f>ROUND(J821+mwreg!$G$88/100,3)</f>
        <v>0.84299999999999997</v>
      </c>
      <c r="AE821" s="108">
        <f>ROUND(K821+mwreg!$G$88/100,3)</f>
        <v>0.08</v>
      </c>
      <c r="AF821" s="102">
        <f t="shared" si="1405"/>
        <v>0.1477</v>
      </c>
      <c r="AG821" s="102" t="str">
        <f t="shared" si="1249"/>
        <v>NaN</v>
      </c>
      <c r="AH821" s="109" t="str">
        <f t="shared" si="1216"/>
        <v>NaN</v>
      </c>
      <c r="AI821" s="110">
        <f t="shared" si="1217"/>
        <v>180</v>
      </c>
      <c r="AJ821" s="110">
        <f t="shared" si="1218"/>
        <v>60</v>
      </c>
      <c r="AK821" s="108">
        <f t="shared" si="1219"/>
        <v>1E-3</v>
      </c>
      <c r="AL821" s="110">
        <f t="shared" si="1220"/>
        <v>3</v>
      </c>
      <c r="AM821" s="110">
        <f t="shared" si="1221"/>
        <v>1500</v>
      </c>
      <c r="AN821" s="108">
        <f t="shared" si="1222"/>
        <v>0.1</v>
      </c>
      <c r="AO821" s="186" t="str">
        <f t="shared" si="1223"/>
        <v>NaN</v>
      </c>
    </row>
    <row r="822" spans="1:41" x14ac:dyDescent="0.2">
      <c r="A822" s="3" t="s">
        <v>296</v>
      </c>
      <c r="B822" s="3" t="s">
        <v>296</v>
      </c>
      <c r="C822" s="52">
        <v>35104</v>
      </c>
      <c r="D822" s="105">
        <v>57.887999999999998</v>
      </c>
      <c r="E822" s="105">
        <v>11.5732</v>
      </c>
      <c r="F822" s="20">
        <v>8195</v>
      </c>
      <c r="G822" s="18">
        <v>0</v>
      </c>
      <c r="H822" s="53">
        <v>9</v>
      </c>
      <c r="I822" s="167">
        <f t="shared" si="1399"/>
        <v>-0.58499999999999996</v>
      </c>
      <c r="J822" s="104">
        <f t="shared" si="1399"/>
        <v>1.161</v>
      </c>
      <c r="K822" s="104">
        <f t="shared" si="1399"/>
        <v>0.10199999999999999</v>
      </c>
      <c r="L822" s="105">
        <f t="shared" si="1400"/>
        <v>0.1986</v>
      </c>
      <c r="M822" s="105" t="s">
        <v>282</v>
      </c>
      <c r="N822" s="105" t="s">
        <v>282</v>
      </c>
      <c r="O822" s="20">
        <f t="shared" ref="O822:P822" si="1418">ROUND(0.618*O726+0.382*O834,0)</f>
        <v>180</v>
      </c>
      <c r="P822" s="20">
        <f t="shared" si="1418"/>
        <v>60</v>
      </c>
      <c r="Q822" s="104">
        <f t="shared" si="1401"/>
        <v>1E-3</v>
      </c>
      <c r="R822" s="20">
        <f t="shared" ref="R822:S822" si="1419">ROUND(0.618*R726+0.382*R834,0)</f>
        <v>3</v>
      </c>
      <c r="S822" s="20">
        <f t="shared" si="1419"/>
        <v>1500</v>
      </c>
      <c r="T822" s="104">
        <f t="shared" si="1402"/>
        <v>0.1</v>
      </c>
      <c r="U822" s="123" t="s">
        <v>282</v>
      </c>
      <c r="V822" s="21"/>
      <c r="W822" s="58">
        <f t="shared" si="1192"/>
        <v>35104</v>
      </c>
      <c r="X822" s="102">
        <f t="shared" si="1193"/>
        <v>57.887999999999998</v>
      </c>
      <c r="Y822" s="102">
        <f t="shared" si="1194"/>
        <v>11.5732</v>
      </c>
      <c r="Z822" s="21">
        <f t="shared" si="1195"/>
        <v>8195</v>
      </c>
      <c r="AA822" s="44">
        <f t="shared" si="1196"/>
        <v>0</v>
      </c>
      <c r="AB822" s="21">
        <f t="shared" si="1185"/>
        <v>9</v>
      </c>
      <c r="AC822" s="119">
        <f>ROUND(I822+mwreg!$G$88/100,3)</f>
        <v>-0.57699999999999996</v>
      </c>
      <c r="AD822" s="108">
        <f>ROUND(J822+mwreg!$G$88/100,3)</f>
        <v>1.169</v>
      </c>
      <c r="AE822" s="108">
        <f>ROUND(K822+mwreg!$G$88/100,3)</f>
        <v>0.11</v>
      </c>
      <c r="AF822" s="102">
        <f t="shared" si="1405"/>
        <v>0.1986</v>
      </c>
      <c r="AG822" s="102" t="str">
        <f t="shared" si="1249"/>
        <v>NaN</v>
      </c>
      <c r="AH822" s="109" t="str">
        <f t="shared" si="1216"/>
        <v>NaN</v>
      </c>
      <c r="AI822" s="110">
        <f t="shared" si="1217"/>
        <v>180</v>
      </c>
      <c r="AJ822" s="110">
        <f t="shared" si="1218"/>
        <v>60</v>
      </c>
      <c r="AK822" s="108">
        <f t="shared" si="1219"/>
        <v>1E-3</v>
      </c>
      <c r="AL822" s="110">
        <f t="shared" si="1220"/>
        <v>3</v>
      </c>
      <c r="AM822" s="110">
        <f t="shared" si="1221"/>
        <v>1500</v>
      </c>
      <c r="AN822" s="108">
        <f t="shared" si="1222"/>
        <v>0.1</v>
      </c>
      <c r="AO822" s="186" t="str">
        <f t="shared" si="1223"/>
        <v>NaN</v>
      </c>
    </row>
    <row r="823" spans="1:41" x14ac:dyDescent="0.2">
      <c r="A823" s="3" t="s">
        <v>296</v>
      </c>
      <c r="B823" s="3" t="s">
        <v>296</v>
      </c>
      <c r="C823" s="52">
        <v>35104</v>
      </c>
      <c r="D823" s="105">
        <v>57.887999999999998</v>
      </c>
      <c r="E823" s="105">
        <v>11.5732</v>
      </c>
      <c r="F823" s="20">
        <v>8195</v>
      </c>
      <c r="G823" s="18">
        <v>0</v>
      </c>
      <c r="H823" s="53">
        <v>10</v>
      </c>
      <c r="I823" s="167">
        <f t="shared" si="1399"/>
        <v>-0.6</v>
      </c>
      <c r="J823" s="104">
        <f t="shared" si="1399"/>
        <v>1.2849999999999999</v>
      </c>
      <c r="K823" s="104">
        <f t="shared" si="1399"/>
        <v>8.6999999999999994E-2</v>
      </c>
      <c r="L823" s="105">
        <f t="shared" si="1400"/>
        <v>0.2208</v>
      </c>
      <c r="M823" s="105" t="s">
        <v>282</v>
      </c>
      <c r="N823" s="105" t="s">
        <v>282</v>
      </c>
      <c r="O823" s="20">
        <f t="shared" ref="O823:P823" si="1420">ROUND(0.618*O727+0.382*O835,0)</f>
        <v>180</v>
      </c>
      <c r="P823" s="20">
        <f t="shared" si="1420"/>
        <v>60</v>
      </c>
      <c r="Q823" s="104">
        <f t="shared" si="1401"/>
        <v>1E-3</v>
      </c>
      <c r="R823" s="20">
        <f t="shared" ref="R823:S823" si="1421">ROUND(0.618*R727+0.382*R835,0)</f>
        <v>3</v>
      </c>
      <c r="S823" s="20">
        <f t="shared" si="1421"/>
        <v>1500</v>
      </c>
      <c r="T823" s="104">
        <f t="shared" si="1402"/>
        <v>0.1</v>
      </c>
      <c r="U823" s="123" t="s">
        <v>282</v>
      </c>
      <c r="V823" s="21"/>
      <c r="W823" s="58">
        <f t="shared" si="1192"/>
        <v>35104</v>
      </c>
      <c r="X823" s="102">
        <f t="shared" si="1193"/>
        <v>57.887999999999998</v>
      </c>
      <c r="Y823" s="102">
        <f t="shared" si="1194"/>
        <v>11.5732</v>
      </c>
      <c r="Z823" s="21">
        <f t="shared" si="1195"/>
        <v>8195</v>
      </c>
      <c r="AA823" s="44">
        <f t="shared" si="1196"/>
        <v>0</v>
      </c>
      <c r="AB823" s="21">
        <f t="shared" si="1185"/>
        <v>10</v>
      </c>
      <c r="AC823" s="119">
        <f>ROUND(I823+mwreg!$G$88/100,3)</f>
        <v>-0.59199999999999997</v>
      </c>
      <c r="AD823" s="108">
        <f>ROUND(J823+mwreg!$G$88/100,3)</f>
        <v>1.2929999999999999</v>
      </c>
      <c r="AE823" s="108">
        <f>ROUND(K823+mwreg!$G$88/100,3)</f>
        <v>9.5000000000000001E-2</v>
      </c>
      <c r="AF823" s="102">
        <f t="shared" si="1405"/>
        <v>0.2208</v>
      </c>
      <c r="AG823" s="102" t="str">
        <f t="shared" si="1249"/>
        <v>NaN</v>
      </c>
      <c r="AH823" s="109" t="str">
        <f t="shared" si="1216"/>
        <v>NaN</v>
      </c>
      <c r="AI823" s="110">
        <f t="shared" si="1217"/>
        <v>180</v>
      </c>
      <c r="AJ823" s="110">
        <f t="shared" si="1218"/>
        <v>60</v>
      </c>
      <c r="AK823" s="108">
        <f t="shared" si="1219"/>
        <v>1E-3</v>
      </c>
      <c r="AL823" s="110">
        <f t="shared" si="1220"/>
        <v>3</v>
      </c>
      <c r="AM823" s="110">
        <f t="shared" si="1221"/>
        <v>1500</v>
      </c>
      <c r="AN823" s="108">
        <f t="shared" si="1222"/>
        <v>0.1</v>
      </c>
      <c r="AO823" s="186" t="str">
        <f t="shared" si="1223"/>
        <v>NaN</v>
      </c>
    </row>
    <row r="824" spans="1:41" x14ac:dyDescent="0.2">
      <c r="A824" s="3" t="s">
        <v>296</v>
      </c>
      <c r="B824" s="3" t="s">
        <v>296</v>
      </c>
      <c r="C824" s="52">
        <v>35104</v>
      </c>
      <c r="D824" s="105">
        <v>57.887999999999998</v>
      </c>
      <c r="E824" s="105">
        <v>11.5732</v>
      </c>
      <c r="F824" s="20">
        <v>8195</v>
      </c>
      <c r="G824" s="18">
        <v>0</v>
      </c>
      <c r="H824" s="53">
        <v>11</v>
      </c>
      <c r="I824" s="167">
        <f t="shared" si="1399"/>
        <v>-0.73499999999999999</v>
      </c>
      <c r="J824" s="104">
        <f t="shared" si="1399"/>
        <v>1.526</v>
      </c>
      <c r="K824" s="104">
        <f t="shared" si="1399"/>
        <v>0.10100000000000001</v>
      </c>
      <c r="L824" s="105">
        <f t="shared" si="1400"/>
        <v>0.23810000000000001</v>
      </c>
      <c r="M824" s="105" t="s">
        <v>282</v>
      </c>
      <c r="N824" s="105" t="s">
        <v>282</v>
      </c>
      <c r="O824" s="20">
        <f t="shared" ref="O824:P824" si="1422">ROUND(0.618*O728+0.382*O836,0)</f>
        <v>180</v>
      </c>
      <c r="P824" s="20">
        <f t="shared" si="1422"/>
        <v>60</v>
      </c>
      <c r="Q824" s="104">
        <f t="shared" si="1401"/>
        <v>1E-3</v>
      </c>
      <c r="R824" s="20">
        <f t="shared" ref="R824:S824" si="1423">ROUND(0.618*R728+0.382*R836,0)</f>
        <v>3</v>
      </c>
      <c r="S824" s="20">
        <f t="shared" si="1423"/>
        <v>1500</v>
      </c>
      <c r="T824" s="104">
        <f t="shared" si="1402"/>
        <v>0.1</v>
      </c>
      <c r="U824" s="123" t="s">
        <v>282</v>
      </c>
      <c r="V824" s="21"/>
      <c r="W824" s="58">
        <f t="shared" si="1192"/>
        <v>35104</v>
      </c>
      <c r="X824" s="102">
        <f t="shared" si="1193"/>
        <v>57.887999999999998</v>
      </c>
      <c r="Y824" s="102">
        <f t="shared" si="1194"/>
        <v>11.5732</v>
      </c>
      <c r="Z824" s="21">
        <f t="shared" si="1195"/>
        <v>8195</v>
      </c>
      <c r="AA824" s="44">
        <f t="shared" si="1196"/>
        <v>0</v>
      </c>
      <c r="AB824" s="21">
        <f t="shared" si="1185"/>
        <v>11</v>
      </c>
      <c r="AC824" s="119">
        <f>ROUND(I824+mwreg!$G$88/100,3)</f>
        <v>-0.72699999999999998</v>
      </c>
      <c r="AD824" s="108">
        <f>ROUND(J824+mwreg!$G$88/100,3)</f>
        <v>1.534</v>
      </c>
      <c r="AE824" s="108">
        <f>ROUND(K824+mwreg!$G$88/100,3)</f>
        <v>0.109</v>
      </c>
      <c r="AF824" s="102">
        <f t="shared" si="1405"/>
        <v>0.23810000000000001</v>
      </c>
      <c r="AG824" s="102" t="str">
        <f t="shared" si="1249"/>
        <v>NaN</v>
      </c>
      <c r="AH824" s="109" t="str">
        <f t="shared" si="1216"/>
        <v>NaN</v>
      </c>
      <c r="AI824" s="110">
        <f t="shared" si="1217"/>
        <v>180</v>
      </c>
      <c r="AJ824" s="110">
        <f t="shared" si="1218"/>
        <v>60</v>
      </c>
      <c r="AK824" s="108">
        <f t="shared" si="1219"/>
        <v>1E-3</v>
      </c>
      <c r="AL824" s="110">
        <f t="shared" si="1220"/>
        <v>3</v>
      </c>
      <c r="AM824" s="110">
        <f t="shared" si="1221"/>
        <v>1500</v>
      </c>
      <c r="AN824" s="108">
        <f t="shared" si="1222"/>
        <v>0.1</v>
      </c>
      <c r="AO824" s="186" t="str">
        <f t="shared" si="1223"/>
        <v>NaN</v>
      </c>
    </row>
    <row r="825" spans="1:41" x14ac:dyDescent="0.2">
      <c r="A825" s="3" t="s">
        <v>296</v>
      </c>
      <c r="B825" s="3" t="s">
        <v>296</v>
      </c>
      <c r="C825" s="52">
        <v>35104</v>
      </c>
      <c r="D825" s="105">
        <v>57.887999999999998</v>
      </c>
      <c r="E825" s="105">
        <v>11.5732</v>
      </c>
      <c r="F825" s="20">
        <v>8195</v>
      </c>
      <c r="G825" s="18">
        <v>0</v>
      </c>
      <c r="H825" s="53">
        <v>12</v>
      </c>
      <c r="I825" s="167">
        <f t="shared" si="1399"/>
        <v>-0.86399999999999999</v>
      </c>
      <c r="J825" s="104">
        <f t="shared" si="1399"/>
        <v>1.4730000000000001</v>
      </c>
      <c r="K825" s="104">
        <f t="shared" si="1399"/>
        <v>0.10199999999999999</v>
      </c>
      <c r="L825" s="105">
        <f t="shared" si="1400"/>
        <v>0.27160000000000001</v>
      </c>
      <c r="M825" s="105" t="s">
        <v>282</v>
      </c>
      <c r="N825" s="105" t="s">
        <v>282</v>
      </c>
      <c r="O825" s="20">
        <f t="shared" ref="O825:P825" si="1424">ROUND(0.618*O729+0.382*O837,0)</f>
        <v>180</v>
      </c>
      <c r="P825" s="20">
        <f t="shared" si="1424"/>
        <v>60</v>
      </c>
      <c r="Q825" s="104">
        <f t="shared" si="1401"/>
        <v>1E-3</v>
      </c>
      <c r="R825" s="20">
        <f t="shared" ref="R825:S825" si="1425">ROUND(0.618*R729+0.382*R837,0)</f>
        <v>3</v>
      </c>
      <c r="S825" s="20">
        <f t="shared" si="1425"/>
        <v>1500</v>
      </c>
      <c r="T825" s="104">
        <f t="shared" si="1402"/>
        <v>0.1</v>
      </c>
      <c r="U825" s="123" t="s">
        <v>282</v>
      </c>
      <c r="V825" s="21"/>
      <c r="W825" s="58">
        <f t="shared" si="1192"/>
        <v>35104</v>
      </c>
      <c r="X825" s="102">
        <f t="shared" si="1193"/>
        <v>57.887999999999998</v>
      </c>
      <c r="Y825" s="102">
        <f t="shared" si="1194"/>
        <v>11.5732</v>
      </c>
      <c r="Z825" s="21">
        <f t="shared" si="1195"/>
        <v>8195</v>
      </c>
      <c r="AA825" s="44">
        <f t="shared" si="1196"/>
        <v>0</v>
      </c>
      <c r="AB825" s="21">
        <f t="shared" si="1185"/>
        <v>12</v>
      </c>
      <c r="AC825" s="119">
        <f>ROUND(I825+mwreg!$G$88/100,3)</f>
        <v>-0.85599999999999998</v>
      </c>
      <c r="AD825" s="108">
        <f>ROUND(J825+mwreg!$G$88/100,3)</f>
        <v>1.4810000000000001</v>
      </c>
      <c r="AE825" s="108">
        <f>ROUND(K825+mwreg!$G$88/100,3)</f>
        <v>0.11</v>
      </c>
      <c r="AF825" s="102">
        <f t="shared" si="1405"/>
        <v>0.27160000000000001</v>
      </c>
      <c r="AG825" s="102" t="str">
        <f t="shared" si="1249"/>
        <v>NaN</v>
      </c>
      <c r="AH825" s="109" t="str">
        <f t="shared" si="1216"/>
        <v>NaN</v>
      </c>
      <c r="AI825" s="110">
        <f t="shared" si="1217"/>
        <v>180</v>
      </c>
      <c r="AJ825" s="110">
        <f t="shared" si="1218"/>
        <v>60</v>
      </c>
      <c r="AK825" s="108">
        <f t="shared" si="1219"/>
        <v>1E-3</v>
      </c>
      <c r="AL825" s="110">
        <f t="shared" si="1220"/>
        <v>3</v>
      </c>
      <c r="AM825" s="110">
        <f t="shared" si="1221"/>
        <v>1500</v>
      </c>
      <c r="AN825" s="108">
        <f t="shared" si="1222"/>
        <v>0.1</v>
      </c>
      <c r="AO825" s="186" t="str">
        <f t="shared" si="1223"/>
        <v>NaN</v>
      </c>
    </row>
    <row r="826" spans="1:41" x14ac:dyDescent="0.2">
      <c r="A826" s="3" t="str">
        <f>stat_uppg!A79</f>
        <v>2110/33071</v>
      </c>
      <c r="B826" s="3" t="str">
        <f>stat_uppg!B79</f>
        <v>STENUNGSUND (SMHI)</v>
      </c>
      <c r="C826" s="55">
        <v>2110</v>
      </c>
      <c r="D826" s="79">
        <v>58.093299999999999</v>
      </c>
      <c r="E826" s="79">
        <v>11.8325</v>
      </c>
      <c r="F826" s="14">
        <v>8195</v>
      </c>
      <c r="G826" s="10">
        <v>0</v>
      </c>
      <c r="H826" s="122">
        <v>1</v>
      </c>
      <c r="I826" s="165">
        <v>-1.177</v>
      </c>
      <c r="J826" s="11">
        <v>1.3640000000000001</v>
      </c>
      <c r="K826" s="11">
        <v>9.6000000000000002E-2</v>
      </c>
      <c r="L826" s="79">
        <v>0.29749999999999999</v>
      </c>
      <c r="M826" s="79">
        <v>6.4899999999999999E-2</v>
      </c>
      <c r="N826" s="79">
        <v>6.8000000000000005E-2</v>
      </c>
      <c r="O826" s="14">
        <v>180</v>
      </c>
      <c r="P826" s="14">
        <v>60</v>
      </c>
      <c r="Q826" s="11">
        <v>1E-3</v>
      </c>
      <c r="R826" s="14">
        <v>3</v>
      </c>
      <c r="S826" s="14">
        <v>1500</v>
      </c>
      <c r="T826" s="11">
        <v>0.1</v>
      </c>
      <c r="U826" s="122">
        <v>231360</v>
      </c>
      <c r="V826" s="35"/>
      <c r="W826" s="99">
        <f t="shared" si="1192"/>
        <v>2110</v>
      </c>
      <c r="X826" s="100">
        <f t="shared" si="1193"/>
        <v>58.093299999999999</v>
      </c>
      <c r="Y826" s="100">
        <f t="shared" si="1194"/>
        <v>11.8325</v>
      </c>
      <c r="Z826" s="22">
        <f t="shared" si="1195"/>
        <v>8195</v>
      </c>
      <c r="AA826" s="35">
        <f t="shared" si="1196"/>
        <v>0</v>
      </c>
      <c r="AB826" s="22">
        <f t="shared" si="1185"/>
        <v>1</v>
      </c>
      <c r="AC826" s="137">
        <f>ROUND(I826+mwreg!$G$89/100,3)</f>
        <v>-1.196</v>
      </c>
      <c r="AD826" s="134">
        <f>ROUND(J826+mwreg!$G$89/100,3)</f>
        <v>1.345</v>
      </c>
      <c r="AE826" s="134">
        <f>ROUND(K826+mwreg!$G$89/100,3)</f>
        <v>7.6999999999999999E-2</v>
      </c>
      <c r="AF826" s="132">
        <f>L826</f>
        <v>0.29749999999999999</v>
      </c>
      <c r="AG826" s="164">
        <f t="shared" ref="AG826:AG869" si="1426">M826</f>
        <v>6.4899999999999999E-2</v>
      </c>
      <c r="AH826" s="164">
        <f t="shared" si="1216"/>
        <v>6.8000000000000005E-2</v>
      </c>
      <c r="AI826" s="135">
        <f t="shared" si="1217"/>
        <v>180</v>
      </c>
      <c r="AJ826" s="135">
        <f t="shared" si="1218"/>
        <v>60</v>
      </c>
      <c r="AK826" s="134">
        <f t="shared" si="1219"/>
        <v>1E-3</v>
      </c>
      <c r="AL826" s="135">
        <f t="shared" si="1220"/>
        <v>3</v>
      </c>
      <c r="AM826" s="135">
        <f t="shared" si="1221"/>
        <v>1500</v>
      </c>
      <c r="AN826" s="134">
        <f t="shared" si="1222"/>
        <v>0.1</v>
      </c>
      <c r="AO826" s="187">
        <f t="shared" si="1223"/>
        <v>231360</v>
      </c>
    </row>
    <row r="827" spans="1:41" x14ac:dyDescent="0.2">
      <c r="A827" s="3" t="s">
        <v>296</v>
      </c>
      <c r="B827" s="3" t="s">
        <v>296</v>
      </c>
      <c r="C827" s="55">
        <v>2110</v>
      </c>
      <c r="D827" s="79">
        <v>58.093299999999999</v>
      </c>
      <c r="E827" s="79">
        <v>11.8325</v>
      </c>
      <c r="F827" s="14">
        <v>8195</v>
      </c>
      <c r="G827" s="10">
        <v>0</v>
      </c>
      <c r="H827" s="122">
        <v>2</v>
      </c>
      <c r="I827" s="165">
        <v>-0.91</v>
      </c>
      <c r="J827" s="11">
        <v>1.5569999999999999</v>
      </c>
      <c r="K827" s="11">
        <v>2.5999999999999999E-2</v>
      </c>
      <c r="L827" s="79">
        <v>0.31040000000000001</v>
      </c>
      <c r="M827" s="79">
        <v>4.7199999999999999E-2</v>
      </c>
      <c r="N827" s="79">
        <v>0.05</v>
      </c>
      <c r="O827" s="14">
        <v>180</v>
      </c>
      <c r="P827" s="14">
        <v>60</v>
      </c>
      <c r="Q827" s="11">
        <v>1E-3</v>
      </c>
      <c r="R827" s="14">
        <v>3</v>
      </c>
      <c r="S827" s="14">
        <v>1500</v>
      </c>
      <c r="T827" s="11">
        <v>0.1</v>
      </c>
      <c r="U827" s="122">
        <v>231435</v>
      </c>
      <c r="V827" s="35"/>
      <c r="W827" s="99">
        <f t="shared" si="1192"/>
        <v>2110</v>
      </c>
      <c r="X827" s="100">
        <f t="shared" si="1193"/>
        <v>58.093299999999999</v>
      </c>
      <c r="Y827" s="100">
        <f t="shared" si="1194"/>
        <v>11.8325</v>
      </c>
      <c r="Z827" s="22">
        <f t="shared" si="1195"/>
        <v>8195</v>
      </c>
      <c r="AA827" s="35">
        <f t="shared" si="1196"/>
        <v>0</v>
      </c>
      <c r="AB827" s="22">
        <f t="shared" si="1185"/>
        <v>2</v>
      </c>
      <c r="AC827" s="137">
        <f>ROUND(I827+mwreg!$G$89/100,3)</f>
        <v>-0.92900000000000005</v>
      </c>
      <c r="AD827" s="134">
        <f>ROUND(J827+mwreg!$G$89/100,3)</f>
        <v>1.538</v>
      </c>
      <c r="AE827" s="134">
        <f>ROUND(K827+mwreg!$G$89/100,3)</f>
        <v>7.0000000000000001E-3</v>
      </c>
      <c r="AF827" s="132">
        <f t="shared" ref="AF827:AF873" si="1427">L827</f>
        <v>0.31040000000000001</v>
      </c>
      <c r="AG827" s="164">
        <f t="shared" si="1426"/>
        <v>4.7199999999999999E-2</v>
      </c>
      <c r="AH827" s="164">
        <f t="shared" si="1216"/>
        <v>0.05</v>
      </c>
      <c r="AI827" s="135">
        <f t="shared" si="1217"/>
        <v>180</v>
      </c>
      <c r="AJ827" s="135">
        <f t="shared" si="1218"/>
        <v>60</v>
      </c>
      <c r="AK827" s="134">
        <f t="shared" si="1219"/>
        <v>1E-3</v>
      </c>
      <c r="AL827" s="135">
        <f t="shared" si="1220"/>
        <v>3</v>
      </c>
      <c r="AM827" s="135">
        <f t="shared" si="1221"/>
        <v>1500</v>
      </c>
      <c r="AN827" s="134">
        <f t="shared" si="1222"/>
        <v>0.1</v>
      </c>
      <c r="AO827" s="187">
        <f t="shared" si="1223"/>
        <v>231435</v>
      </c>
    </row>
    <row r="828" spans="1:41" x14ac:dyDescent="0.2">
      <c r="A828" s="3" t="s">
        <v>296</v>
      </c>
      <c r="B828" s="3" t="s">
        <v>296</v>
      </c>
      <c r="C828" s="55">
        <v>2110</v>
      </c>
      <c r="D828" s="79">
        <v>58.093299999999999</v>
      </c>
      <c r="E828" s="79">
        <v>11.8325</v>
      </c>
      <c r="F828" s="14">
        <v>8195</v>
      </c>
      <c r="G828" s="10">
        <v>0</v>
      </c>
      <c r="H828" s="122">
        <v>3</v>
      </c>
      <c r="I828" s="165">
        <v>-0.92700000000000005</v>
      </c>
      <c r="J828" s="11">
        <v>1.2210000000000001</v>
      </c>
      <c r="K828" s="11">
        <v>-3.5000000000000003E-2</v>
      </c>
      <c r="L828" s="79">
        <v>0.25480000000000003</v>
      </c>
      <c r="M828" s="79">
        <v>9.0499999999999997E-2</v>
      </c>
      <c r="N828" s="79">
        <v>9.4E-2</v>
      </c>
      <c r="O828" s="14">
        <v>180</v>
      </c>
      <c r="P828" s="14">
        <v>60</v>
      </c>
      <c r="Q828" s="11">
        <v>1E-3</v>
      </c>
      <c r="R828" s="14">
        <v>3</v>
      </c>
      <c r="S828" s="14">
        <v>1500</v>
      </c>
      <c r="T828" s="11">
        <v>0.1</v>
      </c>
      <c r="U828" s="122">
        <v>250484</v>
      </c>
      <c r="V828" s="35"/>
      <c r="W828" s="99">
        <f t="shared" si="1192"/>
        <v>2110</v>
      </c>
      <c r="X828" s="100">
        <f t="shared" si="1193"/>
        <v>58.093299999999999</v>
      </c>
      <c r="Y828" s="100">
        <f t="shared" si="1194"/>
        <v>11.8325</v>
      </c>
      <c r="Z828" s="22">
        <f t="shared" si="1195"/>
        <v>8195</v>
      </c>
      <c r="AA828" s="35">
        <f t="shared" si="1196"/>
        <v>0</v>
      </c>
      <c r="AB828" s="22">
        <f t="shared" si="1185"/>
        <v>3</v>
      </c>
      <c r="AC828" s="137">
        <f>ROUND(I828+mwreg!$G$89/100,3)</f>
        <v>-0.94599999999999995</v>
      </c>
      <c r="AD828" s="134">
        <f>ROUND(J828+mwreg!$G$89/100,3)</f>
        <v>1.202</v>
      </c>
      <c r="AE828" s="134">
        <f>ROUND(K828+mwreg!$G$89/100,3)</f>
        <v>-5.3999999999999999E-2</v>
      </c>
      <c r="AF828" s="132">
        <f t="shared" si="1427"/>
        <v>0.25480000000000003</v>
      </c>
      <c r="AG828" s="164">
        <f t="shared" si="1426"/>
        <v>9.0499999999999997E-2</v>
      </c>
      <c r="AH828" s="164">
        <f t="shared" si="1216"/>
        <v>9.4E-2</v>
      </c>
      <c r="AI828" s="135">
        <f t="shared" si="1217"/>
        <v>180</v>
      </c>
      <c r="AJ828" s="135">
        <f t="shared" si="1218"/>
        <v>60</v>
      </c>
      <c r="AK828" s="134">
        <f t="shared" si="1219"/>
        <v>1E-3</v>
      </c>
      <c r="AL828" s="135">
        <f t="shared" si="1220"/>
        <v>3</v>
      </c>
      <c r="AM828" s="135">
        <f t="shared" si="1221"/>
        <v>1500</v>
      </c>
      <c r="AN828" s="134">
        <f t="shared" si="1222"/>
        <v>0.1</v>
      </c>
      <c r="AO828" s="187">
        <f t="shared" si="1223"/>
        <v>250484</v>
      </c>
    </row>
    <row r="829" spans="1:41" x14ac:dyDescent="0.2">
      <c r="A829" s="3" t="s">
        <v>296</v>
      </c>
      <c r="B829" s="3" t="s">
        <v>296</v>
      </c>
      <c r="C829" s="55">
        <v>2110</v>
      </c>
      <c r="D829" s="79">
        <v>58.093299999999999</v>
      </c>
      <c r="E829" s="79">
        <v>11.8325</v>
      </c>
      <c r="F829" s="14">
        <v>8195</v>
      </c>
      <c r="G829" s="10">
        <v>0</v>
      </c>
      <c r="H829" s="122">
        <v>4</v>
      </c>
      <c r="I829" s="165">
        <v>-0.754</v>
      </c>
      <c r="J829" s="11">
        <v>0.96</v>
      </c>
      <c r="K829" s="11">
        <v>-0.10100000000000001</v>
      </c>
      <c r="L829" s="79">
        <v>0.18260000000000001</v>
      </c>
      <c r="M829" s="79">
        <v>2.86E-2</v>
      </c>
      <c r="N829" s="79">
        <v>3.1199999999999999E-2</v>
      </c>
      <c r="O829" s="14">
        <v>180</v>
      </c>
      <c r="P829" s="14">
        <v>60</v>
      </c>
      <c r="Q829" s="11">
        <v>1E-3</v>
      </c>
      <c r="R829" s="14">
        <v>3</v>
      </c>
      <c r="S829" s="14">
        <v>1500</v>
      </c>
      <c r="T829" s="11">
        <v>0.1</v>
      </c>
      <c r="U829" s="122">
        <v>240295</v>
      </c>
      <c r="V829" s="35"/>
      <c r="W829" s="99">
        <f t="shared" si="1192"/>
        <v>2110</v>
      </c>
      <c r="X829" s="100">
        <f t="shared" si="1193"/>
        <v>58.093299999999999</v>
      </c>
      <c r="Y829" s="100">
        <f t="shared" si="1194"/>
        <v>11.8325</v>
      </c>
      <c r="Z829" s="22">
        <f t="shared" si="1195"/>
        <v>8195</v>
      </c>
      <c r="AA829" s="35">
        <f t="shared" si="1196"/>
        <v>0</v>
      </c>
      <c r="AB829" s="22">
        <f t="shared" si="1185"/>
        <v>4</v>
      </c>
      <c r="AC829" s="137">
        <f>ROUND(I829+mwreg!$G$89/100,3)</f>
        <v>-0.77300000000000002</v>
      </c>
      <c r="AD829" s="134">
        <f>ROUND(J829+mwreg!$G$89/100,3)</f>
        <v>0.94099999999999995</v>
      </c>
      <c r="AE829" s="134">
        <f>ROUND(K829+mwreg!$G$89/100,3)</f>
        <v>-0.12</v>
      </c>
      <c r="AF829" s="132">
        <f t="shared" si="1427"/>
        <v>0.18260000000000001</v>
      </c>
      <c r="AG829" s="164">
        <f t="shared" si="1426"/>
        <v>2.86E-2</v>
      </c>
      <c r="AH829" s="164">
        <f t="shared" si="1216"/>
        <v>3.1199999999999999E-2</v>
      </c>
      <c r="AI829" s="135">
        <f t="shared" si="1217"/>
        <v>180</v>
      </c>
      <c r="AJ829" s="135">
        <f t="shared" si="1218"/>
        <v>60</v>
      </c>
      <c r="AK829" s="134">
        <f t="shared" si="1219"/>
        <v>1E-3</v>
      </c>
      <c r="AL829" s="135">
        <f t="shared" si="1220"/>
        <v>3</v>
      </c>
      <c r="AM829" s="135">
        <f t="shared" si="1221"/>
        <v>1500</v>
      </c>
      <c r="AN829" s="134">
        <f t="shared" si="1222"/>
        <v>0.1</v>
      </c>
      <c r="AO829" s="187">
        <f t="shared" si="1223"/>
        <v>240295</v>
      </c>
    </row>
    <row r="830" spans="1:41" x14ac:dyDescent="0.2">
      <c r="A830" s="3" t="s">
        <v>296</v>
      </c>
      <c r="B830" s="3" t="s">
        <v>296</v>
      </c>
      <c r="C830" s="55">
        <v>2110</v>
      </c>
      <c r="D830" s="79">
        <v>58.093299999999999</v>
      </c>
      <c r="E830" s="79">
        <v>11.8325</v>
      </c>
      <c r="F830" s="14">
        <v>8195</v>
      </c>
      <c r="G830" s="10">
        <v>0</v>
      </c>
      <c r="H830" s="122">
        <v>5</v>
      </c>
      <c r="I830" s="165">
        <v>-0.69599999999999995</v>
      </c>
      <c r="J830" s="11">
        <v>0.69399999999999995</v>
      </c>
      <c r="K830" s="11">
        <v>-6.6000000000000003E-2</v>
      </c>
      <c r="L830" s="79">
        <v>0.16420000000000001</v>
      </c>
      <c r="M830" s="79">
        <v>3.6299999999999999E-2</v>
      </c>
      <c r="N830" s="79">
        <v>3.8699999999999998E-2</v>
      </c>
      <c r="O830" s="14">
        <v>180</v>
      </c>
      <c r="P830" s="14">
        <v>60</v>
      </c>
      <c r="Q830" s="11">
        <v>1E-3</v>
      </c>
      <c r="R830" s="14">
        <v>3</v>
      </c>
      <c r="S830" s="14">
        <v>1500</v>
      </c>
      <c r="T830" s="11">
        <v>0.1</v>
      </c>
      <c r="U830" s="122">
        <v>254633</v>
      </c>
      <c r="V830" s="35"/>
      <c r="W830" s="99">
        <f t="shared" si="1192"/>
        <v>2110</v>
      </c>
      <c r="X830" s="100">
        <f t="shared" si="1193"/>
        <v>58.093299999999999</v>
      </c>
      <c r="Y830" s="100">
        <f t="shared" si="1194"/>
        <v>11.8325</v>
      </c>
      <c r="Z830" s="22">
        <f t="shared" si="1195"/>
        <v>8195</v>
      </c>
      <c r="AA830" s="35">
        <f t="shared" si="1196"/>
        <v>0</v>
      </c>
      <c r="AB830" s="22">
        <f t="shared" si="1185"/>
        <v>5</v>
      </c>
      <c r="AC830" s="137">
        <f>ROUND(I830+mwreg!$G$89/100,3)</f>
        <v>-0.71499999999999997</v>
      </c>
      <c r="AD830" s="134">
        <f>ROUND(J830+mwreg!$G$89/100,3)</f>
        <v>0.67500000000000004</v>
      </c>
      <c r="AE830" s="134">
        <f>ROUND(K830+mwreg!$G$89/100,3)</f>
        <v>-8.5000000000000006E-2</v>
      </c>
      <c r="AF830" s="132">
        <f t="shared" si="1427"/>
        <v>0.16420000000000001</v>
      </c>
      <c r="AG830" s="164">
        <f t="shared" si="1426"/>
        <v>3.6299999999999999E-2</v>
      </c>
      <c r="AH830" s="164">
        <f t="shared" si="1216"/>
        <v>3.8699999999999998E-2</v>
      </c>
      <c r="AI830" s="135">
        <f t="shared" si="1217"/>
        <v>180</v>
      </c>
      <c r="AJ830" s="135">
        <f t="shared" si="1218"/>
        <v>60</v>
      </c>
      <c r="AK830" s="134">
        <f t="shared" si="1219"/>
        <v>1E-3</v>
      </c>
      <c r="AL830" s="135">
        <f t="shared" si="1220"/>
        <v>3</v>
      </c>
      <c r="AM830" s="135">
        <f t="shared" si="1221"/>
        <v>1500</v>
      </c>
      <c r="AN830" s="134">
        <f t="shared" si="1222"/>
        <v>0.1</v>
      </c>
      <c r="AO830" s="187">
        <f t="shared" si="1223"/>
        <v>254633</v>
      </c>
    </row>
    <row r="831" spans="1:41" x14ac:dyDescent="0.2">
      <c r="A831" s="3" t="s">
        <v>296</v>
      </c>
      <c r="B831" s="3" t="s">
        <v>296</v>
      </c>
      <c r="C831" s="55">
        <v>2110</v>
      </c>
      <c r="D831" s="79">
        <v>58.093299999999999</v>
      </c>
      <c r="E831" s="79">
        <v>11.8325</v>
      </c>
      <c r="F831" s="14">
        <v>8195</v>
      </c>
      <c r="G831" s="10">
        <v>0</v>
      </c>
      <c r="H831" s="122">
        <v>6</v>
      </c>
      <c r="I831" s="165">
        <v>-0.56200000000000006</v>
      </c>
      <c r="J831" s="11">
        <v>0.67600000000000005</v>
      </c>
      <c r="K831" s="11">
        <v>-1.9E-2</v>
      </c>
      <c r="L831" s="79">
        <v>0.16039999999999999</v>
      </c>
      <c r="M831" s="79">
        <v>7.7600000000000002E-2</v>
      </c>
      <c r="N831" s="79">
        <v>0.08</v>
      </c>
      <c r="O831" s="14">
        <v>180</v>
      </c>
      <c r="P831" s="14">
        <v>60</v>
      </c>
      <c r="Q831" s="11">
        <v>1E-3</v>
      </c>
      <c r="R831" s="14">
        <v>3</v>
      </c>
      <c r="S831" s="14">
        <v>1500</v>
      </c>
      <c r="T831" s="11">
        <v>0.1</v>
      </c>
      <c r="U831" s="122">
        <v>236704</v>
      </c>
      <c r="V831" s="35"/>
      <c r="W831" s="99">
        <f t="shared" si="1192"/>
        <v>2110</v>
      </c>
      <c r="X831" s="100">
        <f t="shared" si="1193"/>
        <v>58.093299999999999</v>
      </c>
      <c r="Y831" s="100">
        <f t="shared" si="1194"/>
        <v>11.8325</v>
      </c>
      <c r="Z831" s="22">
        <f t="shared" si="1195"/>
        <v>8195</v>
      </c>
      <c r="AA831" s="35">
        <f t="shared" si="1196"/>
        <v>0</v>
      </c>
      <c r="AB831" s="22">
        <f t="shared" si="1185"/>
        <v>6</v>
      </c>
      <c r="AC831" s="137">
        <f>ROUND(I831+mwreg!$G$89/100,3)</f>
        <v>-0.58099999999999996</v>
      </c>
      <c r="AD831" s="134">
        <f>ROUND(J831+mwreg!$G$89/100,3)</f>
        <v>0.65700000000000003</v>
      </c>
      <c r="AE831" s="134">
        <f>ROUND(K831+mwreg!$G$89/100,3)</f>
        <v>-3.7999999999999999E-2</v>
      </c>
      <c r="AF831" s="132">
        <f t="shared" si="1427"/>
        <v>0.16039999999999999</v>
      </c>
      <c r="AG831" s="164">
        <f t="shared" si="1426"/>
        <v>7.7600000000000002E-2</v>
      </c>
      <c r="AH831" s="164">
        <f t="shared" si="1216"/>
        <v>0.08</v>
      </c>
      <c r="AI831" s="135">
        <f t="shared" si="1217"/>
        <v>180</v>
      </c>
      <c r="AJ831" s="135">
        <f t="shared" si="1218"/>
        <v>60</v>
      </c>
      <c r="AK831" s="134">
        <f t="shared" si="1219"/>
        <v>1E-3</v>
      </c>
      <c r="AL831" s="135">
        <f t="shared" si="1220"/>
        <v>3</v>
      </c>
      <c r="AM831" s="135">
        <f t="shared" si="1221"/>
        <v>1500</v>
      </c>
      <c r="AN831" s="134">
        <f t="shared" si="1222"/>
        <v>0.1</v>
      </c>
      <c r="AO831" s="187">
        <f t="shared" si="1223"/>
        <v>236704</v>
      </c>
    </row>
    <row r="832" spans="1:41" x14ac:dyDescent="0.2">
      <c r="A832" s="3" t="s">
        <v>296</v>
      </c>
      <c r="B832" s="3" t="s">
        <v>296</v>
      </c>
      <c r="C832" s="55">
        <v>2110</v>
      </c>
      <c r="D832" s="79">
        <v>58.093299999999999</v>
      </c>
      <c r="E832" s="79">
        <v>11.8325</v>
      </c>
      <c r="F832" s="14">
        <v>8195</v>
      </c>
      <c r="G832" s="10">
        <v>0</v>
      </c>
      <c r="H832" s="122">
        <v>7</v>
      </c>
      <c r="I832" s="165">
        <v>-0.50600000000000001</v>
      </c>
      <c r="J832" s="11">
        <v>0.89100000000000001</v>
      </c>
      <c r="K832" s="11">
        <v>4.4999999999999998E-2</v>
      </c>
      <c r="L832" s="79">
        <v>0.1651</v>
      </c>
      <c r="M832" s="79">
        <v>4.58E-2</v>
      </c>
      <c r="N832" s="79">
        <v>4.8300000000000003E-2</v>
      </c>
      <c r="O832" s="14">
        <v>180</v>
      </c>
      <c r="P832" s="14">
        <v>60</v>
      </c>
      <c r="Q832" s="11">
        <v>1E-3</v>
      </c>
      <c r="R832" s="14">
        <v>3</v>
      </c>
      <c r="S832" s="14">
        <v>1500</v>
      </c>
      <c r="T832" s="11">
        <v>0.1</v>
      </c>
      <c r="U832" s="122">
        <v>244286</v>
      </c>
      <c r="V832" s="35"/>
      <c r="W832" s="99">
        <f t="shared" si="1192"/>
        <v>2110</v>
      </c>
      <c r="X832" s="100">
        <f t="shared" si="1193"/>
        <v>58.093299999999999</v>
      </c>
      <c r="Y832" s="100">
        <f t="shared" si="1194"/>
        <v>11.8325</v>
      </c>
      <c r="Z832" s="22">
        <f t="shared" si="1195"/>
        <v>8195</v>
      </c>
      <c r="AA832" s="35">
        <f t="shared" si="1196"/>
        <v>0</v>
      </c>
      <c r="AB832" s="22">
        <f t="shared" si="1185"/>
        <v>7</v>
      </c>
      <c r="AC832" s="137">
        <f>ROUND(I832+mwreg!$G$89/100,3)</f>
        <v>-0.52500000000000002</v>
      </c>
      <c r="AD832" s="134">
        <f>ROUND(J832+mwreg!$G$89/100,3)</f>
        <v>0.872</v>
      </c>
      <c r="AE832" s="134">
        <f>ROUND(K832+mwreg!$G$89/100,3)</f>
        <v>2.5999999999999999E-2</v>
      </c>
      <c r="AF832" s="132">
        <f t="shared" si="1427"/>
        <v>0.1651</v>
      </c>
      <c r="AG832" s="164">
        <f t="shared" si="1426"/>
        <v>4.58E-2</v>
      </c>
      <c r="AH832" s="164">
        <f t="shared" si="1216"/>
        <v>4.8300000000000003E-2</v>
      </c>
      <c r="AI832" s="135">
        <f t="shared" si="1217"/>
        <v>180</v>
      </c>
      <c r="AJ832" s="135">
        <f t="shared" si="1218"/>
        <v>60</v>
      </c>
      <c r="AK832" s="134">
        <f t="shared" si="1219"/>
        <v>1E-3</v>
      </c>
      <c r="AL832" s="135">
        <f t="shared" si="1220"/>
        <v>3</v>
      </c>
      <c r="AM832" s="135">
        <f t="shared" si="1221"/>
        <v>1500</v>
      </c>
      <c r="AN832" s="134">
        <f t="shared" si="1222"/>
        <v>0.1</v>
      </c>
      <c r="AO832" s="187">
        <f t="shared" si="1223"/>
        <v>244286</v>
      </c>
    </row>
    <row r="833" spans="1:41" x14ac:dyDescent="0.2">
      <c r="A833" s="3" t="s">
        <v>296</v>
      </c>
      <c r="B833" s="3" t="s">
        <v>296</v>
      </c>
      <c r="C833" s="55">
        <v>2110</v>
      </c>
      <c r="D833" s="79">
        <v>58.093299999999999</v>
      </c>
      <c r="E833" s="79">
        <v>11.8325</v>
      </c>
      <c r="F833" s="14">
        <v>8195</v>
      </c>
      <c r="G833" s="10">
        <v>0</v>
      </c>
      <c r="H833" s="122">
        <v>8</v>
      </c>
      <c r="I833" s="165">
        <v>-0.435</v>
      </c>
      <c r="J833" s="11">
        <v>0.84399999999999997</v>
      </c>
      <c r="K833" s="11">
        <v>7.2999999999999995E-2</v>
      </c>
      <c r="L833" s="79">
        <v>0.15909999999999999</v>
      </c>
      <c r="M833" s="79">
        <v>5.3499999999999999E-2</v>
      </c>
      <c r="N833" s="79">
        <v>5.6000000000000001E-2</v>
      </c>
      <c r="O833" s="14">
        <v>180</v>
      </c>
      <c r="P833" s="14">
        <v>60</v>
      </c>
      <c r="Q833" s="11">
        <v>1E-3</v>
      </c>
      <c r="R833" s="14">
        <v>3</v>
      </c>
      <c r="S833" s="14">
        <v>1500</v>
      </c>
      <c r="T833" s="11">
        <v>0.1</v>
      </c>
      <c r="U833" s="122">
        <v>251162</v>
      </c>
      <c r="V833" s="35"/>
      <c r="W833" s="99">
        <f t="shared" si="1192"/>
        <v>2110</v>
      </c>
      <c r="X833" s="100">
        <f t="shared" si="1193"/>
        <v>58.093299999999999</v>
      </c>
      <c r="Y833" s="100">
        <f t="shared" si="1194"/>
        <v>11.8325</v>
      </c>
      <c r="Z833" s="22">
        <f t="shared" si="1195"/>
        <v>8195</v>
      </c>
      <c r="AA833" s="35">
        <f t="shared" si="1196"/>
        <v>0</v>
      </c>
      <c r="AB833" s="22">
        <f t="shared" si="1185"/>
        <v>8</v>
      </c>
      <c r="AC833" s="137">
        <f>ROUND(I833+mwreg!$G$89/100,3)</f>
        <v>-0.45400000000000001</v>
      </c>
      <c r="AD833" s="134">
        <f>ROUND(J833+mwreg!$G$89/100,3)</f>
        <v>0.82499999999999996</v>
      </c>
      <c r="AE833" s="134">
        <f>ROUND(K833+mwreg!$G$89/100,3)</f>
        <v>5.3999999999999999E-2</v>
      </c>
      <c r="AF833" s="132">
        <f t="shared" si="1427"/>
        <v>0.15909999999999999</v>
      </c>
      <c r="AG833" s="164">
        <f t="shared" si="1426"/>
        <v>5.3499999999999999E-2</v>
      </c>
      <c r="AH833" s="164">
        <f t="shared" si="1216"/>
        <v>5.6000000000000001E-2</v>
      </c>
      <c r="AI833" s="135">
        <f t="shared" si="1217"/>
        <v>180</v>
      </c>
      <c r="AJ833" s="135">
        <f t="shared" si="1218"/>
        <v>60</v>
      </c>
      <c r="AK833" s="134">
        <f t="shared" si="1219"/>
        <v>1E-3</v>
      </c>
      <c r="AL833" s="135">
        <f t="shared" si="1220"/>
        <v>3</v>
      </c>
      <c r="AM833" s="135">
        <f t="shared" si="1221"/>
        <v>1500</v>
      </c>
      <c r="AN833" s="134">
        <f t="shared" si="1222"/>
        <v>0.1</v>
      </c>
      <c r="AO833" s="187">
        <f t="shared" si="1223"/>
        <v>251162</v>
      </c>
    </row>
    <row r="834" spans="1:41" x14ac:dyDescent="0.2">
      <c r="A834" s="3" t="s">
        <v>296</v>
      </c>
      <c r="B834" s="3" t="s">
        <v>296</v>
      </c>
      <c r="C834" s="55">
        <v>2110</v>
      </c>
      <c r="D834" s="79">
        <v>58.093299999999999</v>
      </c>
      <c r="E834" s="79">
        <v>11.8325</v>
      </c>
      <c r="F834" s="14">
        <v>8195</v>
      </c>
      <c r="G834" s="10">
        <v>0</v>
      </c>
      <c r="H834" s="122">
        <v>9</v>
      </c>
      <c r="I834" s="165">
        <v>-0.628</v>
      </c>
      <c r="J834" s="11">
        <v>1.208</v>
      </c>
      <c r="K834" s="11">
        <v>0.11600000000000001</v>
      </c>
      <c r="L834" s="79">
        <v>0.217</v>
      </c>
      <c r="M834" s="79">
        <v>0.34060000000000001</v>
      </c>
      <c r="N834" s="79">
        <v>0.35099999999999998</v>
      </c>
      <c r="O834" s="14">
        <v>180</v>
      </c>
      <c r="P834" s="14">
        <v>60</v>
      </c>
      <c r="Q834" s="11">
        <v>1E-3</v>
      </c>
      <c r="R834" s="14">
        <v>3</v>
      </c>
      <c r="S834" s="14">
        <v>1500</v>
      </c>
      <c r="T834" s="11">
        <v>0.1</v>
      </c>
      <c r="U834" s="122">
        <v>241195</v>
      </c>
      <c r="V834" s="35"/>
      <c r="W834" s="99">
        <f t="shared" si="1192"/>
        <v>2110</v>
      </c>
      <c r="X834" s="100">
        <f t="shared" si="1193"/>
        <v>58.093299999999999</v>
      </c>
      <c r="Y834" s="100">
        <f t="shared" si="1194"/>
        <v>11.8325</v>
      </c>
      <c r="Z834" s="22">
        <f t="shared" si="1195"/>
        <v>8195</v>
      </c>
      <c r="AA834" s="35">
        <f t="shared" si="1196"/>
        <v>0</v>
      </c>
      <c r="AB834" s="22">
        <f t="shared" ref="AB834:AB897" si="1428">H834</f>
        <v>9</v>
      </c>
      <c r="AC834" s="137">
        <f>ROUND(I834+mwreg!$G$89/100,3)</f>
        <v>-0.64700000000000002</v>
      </c>
      <c r="AD834" s="134">
        <f>ROUND(J834+mwreg!$G$89/100,3)</f>
        <v>1.1890000000000001</v>
      </c>
      <c r="AE834" s="134">
        <f>ROUND(K834+mwreg!$G$89/100,3)</f>
        <v>9.7000000000000003E-2</v>
      </c>
      <c r="AF834" s="132">
        <f t="shared" si="1427"/>
        <v>0.217</v>
      </c>
      <c r="AG834" s="164">
        <f t="shared" si="1426"/>
        <v>0.34060000000000001</v>
      </c>
      <c r="AH834" s="164">
        <f t="shared" si="1216"/>
        <v>0.35099999999999998</v>
      </c>
      <c r="AI834" s="135">
        <f t="shared" si="1217"/>
        <v>180</v>
      </c>
      <c r="AJ834" s="135">
        <f t="shared" si="1218"/>
        <v>60</v>
      </c>
      <c r="AK834" s="134">
        <f t="shared" si="1219"/>
        <v>1E-3</v>
      </c>
      <c r="AL834" s="135">
        <f t="shared" si="1220"/>
        <v>3</v>
      </c>
      <c r="AM834" s="135">
        <f t="shared" si="1221"/>
        <v>1500</v>
      </c>
      <c r="AN834" s="134">
        <f t="shared" si="1222"/>
        <v>0.1</v>
      </c>
      <c r="AO834" s="187">
        <f t="shared" si="1223"/>
        <v>241195</v>
      </c>
    </row>
    <row r="835" spans="1:41" x14ac:dyDescent="0.2">
      <c r="A835" s="3" t="s">
        <v>296</v>
      </c>
      <c r="B835" s="3" t="s">
        <v>296</v>
      </c>
      <c r="C835" s="55">
        <v>2110</v>
      </c>
      <c r="D835" s="79">
        <v>58.093299999999999</v>
      </c>
      <c r="E835" s="79">
        <v>11.8325</v>
      </c>
      <c r="F835" s="14">
        <v>8195</v>
      </c>
      <c r="G835" s="10">
        <v>0</v>
      </c>
      <c r="H835" s="122">
        <v>10</v>
      </c>
      <c r="I835" s="165">
        <v>-0.63200000000000001</v>
      </c>
      <c r="J835" s="11">
        <v>1.401</v>
      </c>
      <c r="K835" s="11">
        <v>8.7999999999999995E-2</v>
      </c>
      <c r="L835" s="79">
        <v>0.23230000000000001</v>
      </c>
      <c r="M835" s="79">
        <v>4.1500000000000002E-2</v>
      </c>
      <c r="N835" s="79">
        <v>4.4299999999999999E-2</v>
      </c>
      <c r="O835" s="14">
        <v>180</v>
      </c>
      <c r="P835" s="14">
        <v>60</v>
      </c>
      <c r="Q835" s="11">
        <v>1E-3</v>
      </c>
      <c r="R835" s="14">
        <v>3</v>
      </c>
      <c r="S835" s="14">
        <v>1500</v>
      </c>
      <c r="T835" s="11">
        <v>0.1</v>
      </c>
      <c r="U835" s="122">
        <v>264794</v>
      </c>
      <c r="V835" s="35"/>
      <c r="W835" s="99">
        <f t="shared" si="1192"/>
        <v>2110</v>
      </c>
      <c r="X835" s="100">
        <f t="shared" si="1193"/>
        <v>58.093299999999999</v>
      </c>
      <c r="Y835" s="100">
        <f t="shared" si="1194"/>
        <v>11.8325</v>
      </c>
      <c r="Z835" s="22">
        <f t="shared" si="1195"/>
        <v>8195</v>
      </c>
      <c r="AA835" s="35">
        <f t="shared" si="1196"/>
        <v>0</v>
      </c>
      <c r="AB835" s="22">
        <f t="shared" si="1428"/>
        <v>10</v>
      </c>
      <c r="AC835" s="137">
        <f>ROUND(I835+mwreg!$G$89/100,3)</f>
        <v>-0.65100000000000002</v>
      </c>
      <c r="AD835" s="134">
        <f>ROUND(J835+mwreg!$G$89/100,3)</f>
        <v>1.3819999999999999</v>
      </c>
      <c r="AE835" s="134">
        <f>ROUND(K835+mwreg!$G$89/100,3)</f>
        <v>6.9000000000000006E-2</v>
      </c>
      <c r="AF835" s="132">
        <f t="shared" si="1427"/>
        <v>0.23230000000000001</v>
      </c>
      <c r="AG835" s="164">
        <f t="shared" si="1426"/>
        <v>4.1500000000000002E-2</v>
      </c>
      <c r="AH835" s="164">
        <f t="shared" si="1216"/>
        <v>4.4299999999999999E-2</v>
      </c>
      <c r="AI835" s="135">
        <f t="shared" si="1217"/>
        <v>180</v>
      </c>
      <c r="AJ835" s="135">
        <f t="shared" si="1218"/>
        <v>60</v>
      </c>
      <c r="AK835" s="134">
        <f t="shared" si="1219"/>
        <v>1E-3</v>
      </c>
      <c r="AL835" s="135">
        <f t="shared" si="1220"/>
        <v>3</v>
      </c>
      <c r="AM835" s="135">
        <f t="shared" si="1221"/>
        <v>1500</v>
      </c>
      <c r="AN835" s="134">
        <f t="shared" si="1222"/>
        <v>0.1</v>
      </c>
      <c r="AO835" s="187">
        <f t="shared" si="1223"/>
        <v>264794</v>
      </c>
    </row>
    <row r="836" spans="1:41" x14ac:dyDescent="0.2">
      <c r="A836" s="3" t="s">
        <v>296</v>
      </c>
      <c r="B836" s="3" t="s">
        <v>296</v>
      </c>
      <c r="C836" s="55">
        <v>2110</v>
      </c>
      <c r="D836" s="79">
        <v>58.093299999999999</v>
      </c>
      <c r="E836" s="79">
        <v>11.8325</v>
      </c>
      <c r="F836" s="14">
        <v>8195</v>
      </c>
      <c r="G836" s="10">
        <v>0</v>
      </c>
      <c r="H836" s="122">
        <v>11</v>
      </c>
      <c r="I836" s="165">
        <v>-0.81799999999999995</v>
      </c>
      <c r="J836" s="11">
        <v>1.57</v>
      </c>
      <c r="K836" s="11">
        <v>8.1000000000000003E-2</v>
      </c>
      <c r="L836" s="79">
        <v>0.25480000000000003</v>
      </c>
      <c r="M836" s="79">
        <v>9.5799999999999996E-2</v>
      </c>
      <c r="N836" s="79">
        <v>9.9000000000000005E-2</v>
      </c>
      <c r="O836" s="14">
        <v>180</v>
      </c>
      <c r="P836" s="14">
        <v>60</v>
      </c>
      <c r="Q836" s="11">
        <v>1E-3</v>
      </c>
      <c r="R836" s="14">
        <v>3</v>
      </c>
      <c r="S836" s="14">
        <v>1500</v>
      </c>
      <c r="T836" s="11">
        <v>0.1</v>
      </c>
      <c r="U836" s="122">
        <v>247792</v>
      </c>
      <c r="V836" s="35"/>
      <c r="W836" s="99">
        <f t="shared" si="1192"/>
        <v>2110</v>
      </c>
      <c r="X836" s="100">
        <f t="shared" si="1193"/>
        <v>58.093299999999999</v>
      </c>
      <c r="Y836" s="100">
        <f t="shared" si="1194"/>
        <v>11.8325</v>
      </c>
      <c r="Z836" s="22">
        <f t="shared" si="1195"/>
        <v>8195</v>
      </c>
      <c r="AA836" s="35">
        <f t="shared" si="1196"/>
        <v>0</v>
      </c>
      <c r="AB836" s="22">
        <f t="shared" si="1428"/>
        <v>11</v>
      </c>
      <c r="AC836" s="137">
        <f>ROUND(I836+mwreg!$G$89/100,3)</f>
        <v>-0.83699999999999997</v>
      </c>
      <c r="AD836" s="134">
        <f>ROUND(J836+mwreg!$G$89/100,3)</f>
        <v>1.5509999999999999</v>
      </c>
      <c r="AE836" s="134">
        <f>ROUND(K836+mwreg!$G$89/100,3)</f>
        <v>6.2E-2</v>
      </c>
      <c r="AF836" s="132">
        <f t="shared" si="1427"/>
        <v>0.25480000000000003</v>
      </c>
      <c r="AG836" s="164">
        <f t="shared" si="1426"/>
        <v>9.5799999999999996E-2</v>
      </c>
      <c r="AH836" s="164">
        <f t="shared" si="1216"/>
        <v>9.9000000000000005E-2</v>
      </c>
      <c r="AI836" s="135">
        <f t="shared" si="1217"/>
        <v>180</v>
      </c>
      <c r="AJ836" s="135">
        <f t="shared" si="1218"/>
        <v>60</v>
      </c>
      <c r="AK836" s="134">
        <f t="shared" si="1219"/>
        <v>1E-3</v>
      </c>
      <c r="AL836" s="135">
        <f t="shared" si="1220"/>
        <v>3</v>
      </c>
      <c r="AM836" s="135">
        <f t="shared" si="1221"/>
        <v>1500</v>
      </c>
      <c r="AN836" s="134">
        <f t="shared" si="1222"/>
        <v>0.1</v>
      </c>
      <c r="AO836" s="187">
        <f t="shared" si="1223"/>
        <v>247792</v>
      </c>
    </row>
    <row r="837" spans="1:41" x14ac:dyDescent="0.2">
      <c r="A837" s="3" t="s">
        <v>296</v>
      </c>
      <c r="B837" s="3" t="s">
        <v>296</v>
      </c>
      <c r="C837" s="55">
        <v>2110</v>
      </c>
      <c r="D837" s="79">
        <v>58.093299999999999</v>
      </c>
      <c r="E837" s="79">
        <v>11.8325</v>
      </c>
      <c r="F837" s="14">
        <v>8195</v>
      </c>
      <c r="G837" s="10">
        <v>0</v>
      </c>
      <c r="H837" s="122">
        <v>12</v>
      </c>
      <c r="I837" s="165">
        <v>-0.89400000000000002</v>
      </c>
      <c r="J837" s="11">
        <v>1.472</v>
      </c>
      <c r="K837" s="11">
        <v>0.122</v>
      </c>
      <c r="L837" s="79">
        <v>0.27860000000000001</v>
      </c>
      <c r="M837" s="79">
        <v>5.0299999999999997E-2</v>
      </c>
      <c r="N837" s="79">
        <v>5.2999999999999999E-2</v>
      </c>
      <c r="O837" s="14">
        <v>180</v>
      </c>
      <c r="P837" s="14">
        <v>60</v>
      </c>
      <c r="Q837" s="11">
        <v>1E-3</v>
      </c>
      <c r="R837" s="14">
        <v>3</v>
      </c>
      <c r="S837" s="14">
        <v>1500</v>
      </c>
      <c r="T837" s="11">
        <v>0.1</v>
      </c>
      <c r="U837" s="122">
        <v>223238</v>
      </c>
      <c r="V837" s="35"/>
      <c r="W837" s="99">
        <f t="shared" si="1192"/>
        <v>2110</v>
      </c>
      <c r="X837" s="100">
        <f t="shared" si="1193"/>
        <v>58.093299999999999</v>
      </c>
      <c r="Y837" s="100">
        <f t="shared" si="1194"/>
        <v>11.8325</v>
      </c>
      <c r="Z837" s="22">
        <f t="shared" si="1195"/>
        <v>8195</v>
      </c>
      <c r="AA837" s="35">
        <f t="shared" si="1196"/>
        <v>0</v>
      </c>
      <c r="AB837" s="22">
        <f t="shared" si="1428"/>
        <v>12</v>
      </c>
      <c r="AC837" s="137">
        <f>ROUND(I837+mwreg!$G$89/100,3)</f>
        <v>-0.91300000000000003</v>
      </c>
      <c r="AD837" s="134">
        <f>ROUND(J837+mwreg!$G$89/100,3)</f>
        <v>1.4530000000000001</v>
      </c>
      <c r="AE837" s="134">
        <f>ROUND(K837+mwreg!$G$89/100,3)</f>
        <v>0.10299999999999999</v>
      </c>
      <c r="AF837" s="132">
        <f t="shared" si="1427"/>
        <v>0.27860000000000001</v>
      </c>
      <c r="AG837" s="164">
        <f t="shared" si="1426"/>
        <v>5.0299999999999997E-2</v>
      </c>
      <c r="AH837" s="164">
        <f t="shared" si="1216"/>
        <v>5.2999999999999999E-2</v>
      </c>
      <c r="AI837" s="135">
        <f t="shared" si="1217"/>
        <v>180</v>
      </c>
      <c r="AJ837" s="135">
        <f t="shared" si="1218"/>
        <v>60</v>
      </c>
      <c r="AK837" s="134">
        <f t="shared" si="1219"/>
        <v>1E-3</v>
      </c>
      <c r="AL837" s="135">
        <f t="shared" si="1220"/>
        <v>3</v>
      </c>
      <c r="AM837" s="135">
        <f t="shared" si="1221"/>
        <v>1500</v>
      </c>
      <c r="AN837" s="134">
        <f t="shared" si="1222"/>
        <v>0.1</v>
      </c>
      <c r="AO837" s="187">
        <f t="shared" si="1223"/>
        <v>223238</v>
      </c>
    </row>
    <row r="838" spans="1:41" x14ac:dyDescent="0.2">
      <c r="A838" s="3" t="str">
        <f>stat_uppg!A80</f>
        <v>2541/33081</v>
      </c>
      <c r="B838" s="3" t="str">
        <f>stat_uppg!B80</f>
        <v>UDDEVALLA (SMHI)</v>
      </c>
      <c r="C838" s="55">
        <v>2541</v>
      </c>
      <c r="D838" s="79">
        <v>58.347499999999997</v>
      </c>
      <c r="E838" s="79">
        <v>11.8947</v>
      </c>
      <c r="F838" s="14">
        <v>8195</v>
      </c>
      <c r="G838" s="10">
        <v>0</v>
      </c>
      <c r="H838" s="122">
        <v>1</v>
      </c>
      <c r="I838" s="165">
        <v>-0.86899999999999999</v>
      </c>
      <c r="J838" s="11">
        <v>1.5429999999999999</v>
      </c>
      <c r="K838" s="11">
        <v>9.7000000000000003E-2</v>
      </c>
      <c r="L838" s="79">
        <v>0.31559999999999999</v>
      </c>
      <c r="M838" s="79">
        <v>3.3099999999999997E-2</v>
      </c>
      <c r="N838" s="79">
        <v>3.5000000000000003E-2</v>
      </c>
      <c r="O838" s="14">
        <v>180</v>
      </c>
      <c r="P838" s="14">
        <v>60</v>
      </c>
      <c r="Q838" s="11">
        <v>1E-3</v>
      </c>
      <c r="R838" s="14">
        <v>3</v>
      </c>
      <c r="S838" s="14">
        <v>1500</v>
      </c>
      <c r="T838" s="11">
        <v>0.1</v>
      </c>
      <c r="U838" s="122">
        <v>435318</v>
      </c>
      <c r="V838" s="22"/>
      <c r="W838" s="99">
        <f t="shared" si="1192"/>
        <v>2541</v>
      </c>
      <c r="X838" s="100">
        <f t="shared" si="1193"/>
        <v>58.347499999999997</v>
      </c>
      <c r="Y838" s="100">
        <f t="shared" si="1194"/>
        <v>11.8947</v>
      </c>
      <c r="Z838" s="22">
        <f t="shared" si="1195"/>
        <v>8195</v>
      </c>
      <c r="AA838" s="35">
        <f t="shared" si="1196"/>
        <v>0</v>
      </c>
      <c r="AB838" s="22">
        <f t="shared" si="1428"/>
        <v>1</v>
      </c>
      <c r="AC838" s="137">
        <f>ROUND(I838+mwreg!$G$90/100,3)</f>
        <v>-0.90200000000000002</v>
      </c>
      <c r="AD838" s="134">
        <f>ROUND(J838+mwreg!$G$90/100,3)</f>
        <v>1.51</v>
      </c>
      <c r="AE838" s="134">
        <f>ROUND(K838+mwreg!$G$90/100,3)</f>
        <v>6.4000000000000001E-2</v>
      </c>
      <c r="AF838" s="132">
        <f t="shared" si="1427"/>
        <v>0.31559999999999999</v>
      </c>
      <c r="AG838" s="164">
        <f t="shared" si="1426"/>
        <v>3.3099999999999997E-2</v>
      </c>
      <c r="AH838" s="164">
        <f t="shared" si="1216"/>
        <v>3.5000000000000003E-2</v>
      </c>
      <c r="AI838" s="135">
        <f t="shared" si="1217"/>
        <v>180</v>
      </c>
      <c r="AJ838" s="135">
        <f t="shared" si="1218"/>
        <v>60</v>
      </c>
      <c r="AK838" s="134">
        <f t="shared" si="1219"/>
        <v>1E-3</v>
      </c>
      <c r="AL838" s="135">
        <f t="shared" si="1220"/>
        <v>3</v>
      </c>
      <c r="AM838" s="135">
        <f t="shared" si="1221"/>
        <v>1500</v>
      </c>
      <c r="AN838" s="134">
        <f t="shared" si="1222"/>
        <v>0.1</v>
      </c>
      <c r="AO838" s="187">
        <f t="shared" si="1223"/>
        <v>435318</v>
      </c>
    </row>
    <row r="839" spans="1:41" x14ac:dyDescent="0.2">
      <c r="A839" s="3" t="s">
        <v>296</v>
      </c>
      <c r="B839" s="3" t="s">
        <v>296</v>
      </c>
      <c r="C839" s="55">
        <v>2541</v>
      </c>
      <c r="D839" s="79">
        <v>58.347499999999997</v>
      </c>
      <c r="E839" s="79">
        <v>11.8947</v>
      </c>
      <c r="F839" s="14">
        <v>8195</v>
      </c>
      <c r="G839" s="10">
        <v>0</v>
      </c>
      <c r="H839" s="122">
        <v>2</v>
      </c>
      <c r="I839" s="165">
        <v>-0.92900000000000005</v>
      </c>
      <c r="J839" s="11">
        <v>1.5069999999999999</v>
      </c>
      <c r="K839" s="11">
        <v>2.7E-2</v>
      </c>
      <c r="L839" s="79">
        <v>0.3196</v>
      </c>
      <c r="M839" s="79">
        <v>2.3099999999999999E-2</v>
      </c>
      <c r="N839" s="79">
        <v>2.5000000000000001E-2</v>
      </c>
      <c r="O839" s="14">
        <v>180</v>
      </c>
      <c r="P839" s="14">
        <v>60</v>
      </c>
      <c r="Q839" s="11">
        <v>1E-3</v>
      </c>
      <c r="R839" s="14">
        <v>3</v>
      </c>
      <c r="S839" s="14">
        <v>1500</v>
      </c>
      <c r="T839" s="11">
        <v>0.1</v>
      </c>
      <c r="U839" s="122">
        <v>404570</v>
      </c>
      <c r="V839" s="22"/>
      <c r="W839" s="99">
        <f t="shared" si="1192"/>
        <v>2541</v>
      </c>
      <c r="X839" s="100">
        <f t="shared" si="1193"/>
        <v>58.347499999999997</v>
      </c>
      <c r="Y839" s="100">
        <f t="shared" si="1194"/>
        <v>11.8947</v>
      </c>
      <c r="Z839" s="22">
        <f t="shared" si="1195"/>
        <v>8195</v>
      </c>
      <c r="AA839" s="35">
        <f t="shared" si="1196"/>
        <v>0</v>
      </c>
      <c r="AB839" s="22">
        <f t="shared" si="1428"/>
        <v>2</v>
      </c>
      <c r="AC839" s="137">
        <f>ROUND(I839+mwreg!$G$90/100,3)</f>
        <v>-0.96199999999999997</v>
      </c>
      <c r="AD839" s="134">
        <f>ROUND(J839+mwreg!$G$90/100,3)</f>
        <v>1.474</v>
      </c>
      <c r="AE839" s="134">
        <f>ROUND(K839+mwreg!$G$90/100,3)</f>
        <v>-6.0000000000000001E-3</v>
      </c>
      <c r="AF839" s="132">
        <f t="shared" si="1427"/>
        <v>0.3196</v>
      </c>
      <c r="AG839" s="164">
        <f t="shared" si="1426"/>
        <v>2.3099999999999999E-2</v>
      </c>
      <c r="AH839" s="164">
        <f t="shared" si="1216"/>
        <v>2.5000000000000001E-2</v>
      </c>
      <c r="AI839" s="135">
        <f t="shared" si="1217"/>
        <v>180</v>
      </c>
      <c r="AJ839" s="135">
        <f t="shared" si="1218"/>
        <v>60</v>
      </c>
      <c r="AK839" s="134">
        <f t="shared" si="1219"/>
        <v>1E-3</v>
      </c>
      <c r="AL839" s="135">
        <f t="shared" si="1220"/>
        <v>3</v>
      </c>
      <c r="AM839" s="135">
        <f t="shared" si="1221"/>
        <v>1500</v>
      </c>
      <c r="AN839" s="134">
        <f t="shared" si="1222"/>
        <v>0.1</v>
      </c>
      <c r="AO839" s="187">
        <f t="shared" si="1223"/>
        <v>404570</v>
      </c>
    </row>
    <row r="840" spans="1:41" x14ac:dyDescent="0.2">
      <c r="A840" s="3" t="s">
        <v>296</v>
      </c>
      <c r="B840" s="3" t="s">
        <v>296</v>
      </c>
      <c r="C840" s="55">
        <v>2541</v>
      </c>
      <c r="D840" s="79">
        <v>58.347499999999997</v>
      </c>
      <c r="E840" s="79">
        <v>11.8947</v>
      </c>
      <c r="F840" s="14">
        <v>8195</v>
      </c>
      <c r="G840" s="10">
        <v>0</v>
      </c>
      <c r="H840" s="122">
        <v>3</v>
      </c>
      <c r="I840" s="165">
        <v>-0.96</v>
      </c>
      <c r="J840" s="11">
        <v>1.1140000000000001</v>
      </c>
      <c r="K840" s="11">
        <v>-4.2000000000000003E-2</v>
      </c>
      <c r="L840" s="79">
        <v>0.2666</v>
      </c>
      <c r="M840" s="79">
        <v>2.0199999999999999E-2</v>
      </c>
      <c r="N840" s="79">
        <v>2.1999999999999999E-2</v>
      </c>
      <c r="O840" s="14">
        <v>180</v>
      </c>
      <c r="P840" s="14">
        <v>60</v>
      </c>
      <c r="Q840" s="11">
        <v>1E-3</v>
      </c>
      <c r="R840" s="14">
        <v>3</v>
      </c>
      <c r="S840" s="14">
        <v>1500</v>
      </c>
      <c r="T840" s="11">
        <v>0.1</v>
      </c>
      <c r="U840" s="122">
        <v>443205</v>
      </c>
      <c r="V840" s="22"/>
      <c r="W840" s="99">
        <f t="shared" si="1192"/>
        <v>2541</v>
      </c>
      <c r="X840" s="100">
        <f t="shared" si="1193"/>
        <v>58.347499999999997</v>
      </c>
      <c r="Y840" s="100">
        <f t="shared" si="1194"/>
        <v>11.8947</v>
      </c>
      <c r="Z840" s="22">
        <f t="shared" si="1195"/>
        <v>8195</v>
      </c>
      <c r="AA840" s="35">
        <f t="shared" si="1196"/>
        <v>0</v>
      </c>
      <c r="AB840" s="22">
        <f t="shared" si="1428"/>
        <v>3</v>
      </c>
      <c r="AC840" s="137">
        <f>ROUND(I840+mwreg!$G$90/100,3)</f>
        <v>-0.99299999999999999</v>
      </c>
      <c r="AD840" s="134">
        <f>ROUND(J840+mwreg!$G$90/100,3)</f>
        <v>1.081</v>
      </c>
      <c r="AE840" s="134">
        <f>ROUND(K840+mwreg!$G$90/100,3)</f>
        <v>-7.4999999999999997E-2</v>
      </c>
      <c r="AF840" s="132">
        <f t="shared" si="1427"/>
        <v>0.2666</v>
      </c>
      <c r="AG840" s="164">
        <f t="shared" si="1426"/>
        <v>2.0199999999999999E-2</v>
      </c>
      <c r="AH840" s="164">
        <f t="shared" si="1216"/>
        <v>2.1999999999999999E-2</v>
      </c>
      <c r="AI840" s="135">
        <f t="shared" si="1217"/>
        <v>180</v>
      </c>
      <c r="AJ840" s="135">
        <f t="shared" si="1218"/>
        <v>60</v>
      </c>
      <c r="AK840" s="134">
        <f t="shared" si="1219"/>
        <v>1E-3</v>
      </c>
      <c r="AL840" s="135">
        <f t="shared" si="1220"/>
        <v>3</v>
      </c>
      <c r="AM840" s="135">
        <f t="shared" si="1221"/>
        <v>1500</v>
      </c>
      <c r="AN840" s="134">
        <f t="shared" si="1222"/>
        <v>0.1</v>
      </c>
      <c r="AO840" s="187">
        <f t="shared" si="1223"/>
        <v>443205</v>
      </c>
    </row>
    <row r="841" spans="1:41" x14ac:dyDescent="0.2">
      <c r="A841" s="3" t="s">
        <v>296</v>
      </c>
      <c r="B841" s="3" t="s">
        <v>296</v>
      </c>
      <c r="C841" s="55">
        <v>2541</v>
      </c>
      <c r="D841" s="79">
        <v>58.347499999999997</v>
      </c>
      <c r="E841" s="79">
        <v>11.8947</v>
      </c>
      <c r="F841" s="14">
        <v>8195</v>
      </c>
      <c r="G841" s="10">
        <v>0</v>
      </c>
      <c r="H841" s="122">
        <v>4</v>
      </c>
      <c r="I841" s="165">
        <v>-0.66500000000000004</v>
      </c>
      <c r="J841" s="11">
        <v>1.1200000000000001</v>
      </c>
      <c r="K841" s="11">
        <v>-4.4999999999999998E-2</v>
      </c>
      <c r="L841" s="79">
        <v>0.19850000000000001</v>
      </c>
      <c r="M841" s="79">
        <v>2.4400000000000002E-2</v>
      </c>
      <c r="N841" s="79">
        <v>2.5999999999999999E-2</v>
      </c>
      <c r="O841" s="14">
        <v>180</v>
      </c>
      <c r="P841" s="14">
        <v>60</v>
      </c>
      <c r="Q841" s="11">
        <v>1E-3</v>
      </c>
      <c r="R841" s="14">
        <v>3</v>
      </c>
      <c r="S841" s="14">
        <v>1500</v>
      </c>
      <c r="T841" s="11">
        <v>0.1</v>
      </c>
      <c r="U841" s="122">
        <v>416326</v>
      </c>
      <c r="V841" s="22"/>
      <c r="W841" s="99">
        <f t="shared" si="1192"/>
        <v>2541</v>
      </c>
      <c r="X841" s="100">
        <f t="shared" si="1193"/>
        <v>58.347499999999997</v>
      </c>
      <c r="Y841" s="100">
        <f t="shared" si="1194"/>
        <v>11.8947</v>
      </c>
      <c r="Z841" s="22">
        <f t="shared" si="1195"/>
        <v>8195</v>
      </c>
      <c r="AA841" s="35">
        <f t="shared" si="1196"/>
        <v>0</v>
      </c>
      <c r="AB841" s="22">
        <f t="shared" si="1428"/>
        <v>4</v>
      </c>
      <c r="AC841" s="137">
        <f>ROUND(I841+mwreg!$G$90/100,3)</f>
        <v>-0.69799999999999995</v>
      </c>
      <c r="AD841" s="134">
        <f>ROUND(J841+mwreg!$G$90/100,3)</f>
        <v>1.087</v>
      </c>
      <c r="AE841" s="134">
        <f>ROUND(K841+mwreg!$G$90/100,3)</f>
        <v>-7.8E-2</v>
      </c>
      <c r="AF841" s="132">
        <f t="shared" si="1427"/>
        <v>0.19850000000000001</v>
      </c>
      <c r="AG841" s="164">
        <f t="shared" si="1426"/>
        <v>2.4400000000000002E-2</v>
      </c>
      <c r="AH841" s="164">
        <f t="shared" si="1216"/>
        <v>2.5999999999999999E-2</v>
      </c>
      <c r="AI841" s="135">
        <f t="shared" si="1217"/>
        <v>180</v>
      </c>
      <c r="AJ841" s="135">
        <f t="shared" si="1218"/>
        <v>60</v>
      </c>
      <c r="AK841" s="134">
        <f t="shared" si="1219"/>
        <v>1E-3</v>
      </c>
      <c r="AL841" s="135">
        <f t="shared" si="1220"/>
        <v>3</v>
      </c>
      <c r="AM841" s="135">
        <f t="shared" si="1221"/>
        <v>1500</v>
      </c>
      <c r="AN841" s="134">
        <f t="shared" si="1222"/>
        <v>0.1</v>
      </c>
      <c r="AO841" s="187">
        <f t="shared" si="1223"/>
        <v>416326</v>
      </c>
    </row>
    <row r="842" spans="1:41" x14ac:dyDescent="0.2">
      <c r="A842" s="3" t="s">
        <v>296</v>
      </c>
      <c r="B842" s="3" t="s">
        <v>296</v>
      </c>
      <c r="C842" s="55">
        <v>2541</v>
      </c>
      <c r="D842" s="79">
        <v>58.347499999999997</v>
      </c>
      <c r="E842" s="79">
        <v>11.8947</v>
      </c>
      <c r="F842" s="14">
        <v>8195</v>
      </c>
      <c r="G842" s="10">
        <v>0</v>
      </c>
      <c r="H842" s="122">
        <v>5</v>
      </c>
      <c r="I842" s="165">
        <v>-0.69399999999999995</v>
      </c>
      <c r="J842" s="11">
        <v>0.65700000000000003</v>
      </c>
      <c r="K842" s="11">
        <v>-3.1E-2</v>
      </c>
      <c r="L842" s="79">
        <v>0.184</v>
      </c>
      <c r="M842" s="79">
        <v>0.1084</v>
      </c>
      <c r="N842" s="79">
        <v>0.11</v>
      </c>
      <c r="O842" s="14">
        <v>180</v>
      </c>
      <c r="P842" s="14">
        <v>60</v>
      </c>
      <c r="Q842" s="11">
        <v>1E-3</v>
      </c>
      <c r="R842" s="14">
        <v>3</v>
      </c>
      <c r="S842" s="14">
        <v>1500</v>
      </c>
      <c r="T842" s="11">
        <v>0.1</v>
      </c>
      <c r="U842" s="122">
        <v>403350</v>
      </c>
      <c r="V842" s="22"/>
      <c r="W842" s="99">
        <f t="shared" si="1192"/>
        <v>2541</v>
      </c>
      <c r="X842" s="100">
        <f t="shared" si="1193"/>
        <v>58.347499999999997</v>
      </c>
      <c r="Y842" s="100">
        <f t="shared" si="1194"/>
        <v>11.8947</v>
      </c>
      <c r="Z842" s="22">
        <f t="shared" si="1195"/>
        <v>8195</v>
      </c>
      <c r="AA842" s="35">
        <f t="shared" si="1196"/>
        <v>0</v>
      </c>
      <c r="AB842" s="22">
        <f t="shared" si="1428"/>
        <v>5</v>
      </c>
      <c r="AC842" s="137">
        <f>ROUND(I842+mwreg!$G$90/100,3)</f>
        <v>-0.72699999999999998</v>
      </c>
      <c r="AD842" s="134">
        <f>ROUND(J842+mwreg!$G$90/100,3)</f>
        <v>0.624</v>
      </c>
      <c r="AE842" s="134">
        <f>ROUND(K842+mwreg!$G$90/100,3)</f>
        <v>-6.4000000000000001E-2</v>
      </c>
      <c r="AF842" s="132">
        <f t="shared" si="1427"/>
        <v>0.184</v>
      </c>
      <c r="AG842" s="164">
        <f t="shared" si="1426"/>
        <v>0.1084</v>
      </c>
      <c r="AH842" s="164">
        <f t="shared" si="1216"/>
        <v>0.11</v>
      </c>
      <c r="AI842" s="135">
        <f t="shared" si="1217"/>
        <v>180</v>
      </c>
      <c r="AJ842" s="135">
        <f t="shared" si="1218"/>
        <v>60</v>
      </c>
      <c r="AK842" s="134">
        <f t="shared" si="1219"/>
        <v>1E-3</v>
      </c>
      <c r="AL842" s="135">
        <f t="shared" si="1220"/>
        <v>3</v>
      </c>
      <c r="AM842" s="135">
        <f t="shared" si="1221"/>
        <v>1500</v>
      </c>
      <c r="AN842" s="134">
        <f t="shared" si="1222"/>
        <v>0.1</v>
      </c>
      <c r="AO842" s="187">
        <f t="shared" si="1223"/>
        <v>403350</v>
      </c>
    </row>
    <row r="843" spans="1:41" x14ac:dyDescent="0.2">
      <c r="A843" s="3" t="s">
        <v>296</v>
      </c>
      <c r="B843" s="3" t="s">
        <v>296</v>
      </c>
      <c r="C843" s="55">
        <v>2541</v>
      </c>
      <c r="D843" s="79">
        <v>58.347499999999997</v>
      </c>
      <c r="E843" s="79">
        <v>11.8947</v>
      </c>
      <c r="F843" s="14">
        <v>8195</v>
      </c>
      <c r="G843" s="10">
        <v>0</v>
      </c>
      <c r="H843" s="122">
        <v>6</v>
      </c>
      <c r="I843" s="165">
        <v>-0.63200000000000001</v>
      </c>
      <c r="J843" s="11">
        <v>0.67100000000000004</v>
      </c>
      <c r="K843" s="11">
        <v>1.6E-2</v>
      </c>
      <c r="L843" s="79">
        <v>0.1784</v>
      </c>
      <c r="M843" s="79">
        <v>1.04E-2</v>
      </c>
      <c r="N843" s="79">
        <v>1.2E-2</v>
      </c>
      <c r="O843" s="14">
        <v>180</v>
      </c>
      <c r="P843" s="14">
        <v>60</v>
      </c>
      <c r="Q843" s="11">
        <v>1E-3</v>
      </c>
      <c r="R843" s="14">
        <v>3</v>
      </c>
      <c r="S843" s="14">
        <v>1500</v>
      </c>
      <c r="T843" s="11">
        <v>0.1</v>
      </c>
      <c r="U843" s="122">
        <v>394701</v>
      </c>
      <c r="V843" s="22"/>
      <c r="W843" s="99">
        <f t="shared" si="1192"/>
        <v>2541</v>
      </c>
      <c r="X843" s="100">
        <f t="shared" si="1193"/>
        <v>58.347499999999997</v>
      </c>
      <c r="Y843" s="100">
        <f t="shared" si="1194"/>
        <v>11.8947</v>
      </c>
      <c r="Z843" s="22">
        <f t="shared" si="1195"/>
        <v>8195</v>
      </c>
      <c r="AA843" s="35">
        <f t="shared" si="1196"/>
        <v>0</v>
      </c>
      <c r="AB843" s="22">
        <f t="shared" si="1428"/>
        <v>6</v>
      </c>
      <c r="AC843" s="137">
        <f>ROUND(I843+mwreg!$G$90/100,3)</f>
        <v>-0.66500000000000004</v>
      </c>
      <c r="AD843" s="134">
        <f>ROUND(J843+mwreg!$G$90/100,3)</f>
        <v>0.63800000000000001</v>
      </c>
      <c r="AE843" s="134">
        <f>ROUND(K843+mwreg!$G$90/100,3)</f>
        <v>-1.7000000000000001E-2</v>
      </c>
      <c r="AF843" s="132">
        <f t="shared" si="1427"/>
        <v>0.1784</v>
      </c>
      <c r="AG843" s="164">
        <f t="shared" si="1426"/>
        <v>1.04E-2</v>
      </c>
      <c r="AH843" s="164">
        <f t="shared" si="1216"/>
        <v>1.2E-2</v>
      </c>
      <c r="AI843" s="135">
        <f t="shared" si="1217"/>
        <v>180</v>
      </c>
      <c r="AJ843" s="135">
        <f t="shared" si="1218"/>
        <v>60</v>
      </c>
      <c r="AK843" s="134">
        <f t="shared" si="1219"/>
        <v>1E-3</v>
      </c>
      <c r="AL843" s="135">
        <f t="shared" si="1220"/>
        <v>3</v>
      </c>
      <c r="AM843" s="135">
        <f t="shared" si="1221"/>
        <v>1500</v>
      </c>
      <c r="AN843" s="134">
        <f t="shared" si="1222"/>
        <v>0.1</v>
      </c>
      <c r="AO843" s="187">
        <f t="shared" si="1223"/>
        <v>394701</v>
      </c>
    </row>
    <row r="844" spans="1:41" x14ac:dyDescent="0.2">
      <c r="A844" s="3" t="s">
        <v>296</v>
      </c>
      <c r="B844" s="3" t="s">
        <v>296</v>
      </c>
      <c r="C844" s="55">
        <v>2541</v>
      </c>
      <c r="D844" s="79">
        <v>58.347499999999997</v>
      </c>
      <c r="E844" s="79">
        <v>11.8947</v>
      </c>
      <c r="F844" s="14">
        <v>8195</v>
      </c>
      <c r="G844" s="10">
        <v>0</v>
      </c>
      <c r="H844" s="122">
        <v>7</v>
      </c>
      <c r="I844" s="165">
        <v>-0.439</v>
      </c>
      <c r="J844" s="11">
        <v>0.88300000000000001</v>
      </c>
      <c r="K844" s="11">
        <v>6.2E-2</v>
      </c>
      <c r="L844" s="79">
        <v>0.17530000000000001</v>
      </c>
      <c r="M844" s="79">
        <v>2.24E-2</v>
      </c>
      <c r="N844" s="79">
        <v>2.4E-2</v>
      </c>
      <c r="O844" s="14">
        <v>180</v>
      </c>
      <c r="P844" s="14">
        <v>60</v>
      </c>
      <c r="Q844" s="11">
        <v>1E-3</v>
      </c>
      <c r="R844" s="14">
        <v>3</v>
      </c>
      <c r="S844" s="14">
        <v>1500</v>
      </c>
      <c r="T844" s="11">
        <v>0.1</v>
      </c>
      <c r="U844" s="122">
        <v>441268</v>
      </c>
      <c r="V844" s="22"/>
      <c r="W844" s="99">
        <f t="shared" si="1192"/>
        <v>2541</v>
      </c>
      <c r="X844" s="100">
        <f t="shared" si="1193"/>
        <v>58.347499999999997</v>
      </c>
      <c r="Y844" s="100">
        <f t="shared" si="1194"/>
        <v>11.8947</v>
      </c>
      <c r="Z844" s="22">
        <f t="shared" si="1195"/>
        <v>8195</v>
      </c>
      <c r="AA844" s="35">
        <f t="shared" si="1196"/>
        <v>0</v>
      </c>
      <c r="AB844" s="22">
        <f t="shared" si="1428"/>
        <v>7</v>
      </c>
      <c r="AC844" s="137">
        <f>ROUND(I844+mwreg!$G$90/100,3)</f>
        <v>-0.47199999999999998</v>
      </c>
      <c r="AD844" s="134">
        <f>ROUND(J844+mwreg!$G$90/100,3)</f>
        <v>0.85</v>
      </c>
      <c r="AE844" s="134">
        <f>ROUND(K844+mwreg!$G$90/100,3)</f>
        <v>2.9000000000000001E-2</v>
      </c>
      <c r="AF844" s="132">
        <f t="shared" si="1427"/>
        <v>0.17530000000000001</v>
      </c>
      <c r="AG844" s="164">
        <f t="shared" si="1426"/>
        <v>2.24E-2</v>
      </c>
      <c r="AH844" s="164">
        <f t="shared" si="1216"/>
        <v>2.4E-2</v>
      </c>
      <c r="AI844" s="135">
        <f t="shared" si="1217"/>
        <v>180</v>
      </c>
      <c r="AJ844" s="135">
        <f t="shared" si="1218"/>
        <v>60</v>
      </c>
      <c r="AK844" s="134">
        <f t="shared" si="1219"/>
        <v>1E-3</v>
      </c>
      <c r="AL844" s="135">
        <f t="shared" si="1220"/>
        <v>3</v>
      </c>
      <c r="AM844" s="135">
        <f t="shared" si="1221"/>
        <v>1500</v>
      </c>
      <c r="AN844" s="134">
        <f t="shared" si="1222"/>
        <v>0.1</v>
      </c>
      <c r="AO844" s="187">
        <f t="shared" si="1223"/>
        <v>441268</v>
      </c>
    </row>
    <row r="845" spans="1:41" x14ac:dyDescent="0.2">
      <c r="A845" s="3" t="s">
        <v>296</v>
      </c>
      <c r="B845" s="3" t="s">
        <v>296</v>
      </c>
      <c r="C845" s="55">
        <v>2541</v>
      </c>
      <c r="D845" s="79">
        <v>58.347499999999997</v>
      </c>
      <c r="E845" s="79">
        <v>11.8947</v>
      </c>
      <c r="F845" s="14">
        <v>8195</v>
      </c>
      <c r="G845" s="10">
        <v>0</v>
      </c>
      <c r="H845" s="122">
        <v>8</v>
      </c>
      <c r="I845" s="165">
        <v>-0.373</v>
      </c>
      <c r="J845" s="11">
        <v>0.81200000000000006</v>
      </c>
      <c r="K845" s="11">
        <v>8.8999999999999996E-2</v>
      </c>
      <c r="L845" s="79">
        <v>0.18110000000000001</v>
      </c>
      <c r="M845" s="79">
        <v>1.9300000000000001E-2</v>
      </c>
      <c r="N845" s="79">
        <v>2.1000000000000001E-2</v>
      </c>
      <c r="O845" s="14">
        <v>180</v>
      </c>
      <c r="P845" s="14">
        <v>60</v>
      </c>
      <c r="Q845" s="11">
        <v>1E-3</v>
      </c>
      <c r="R845" s="14">
        <v>3</v>
      </c>
      <c r="S845" s="14">
        <v>1500</v>
      </c>
      <c r="T845" s="11">
        <v>0.1</v>
      </c>
      <c r="U845" s="122">
        <v>420558</v>
      </c>
      <c r="V845" s="22"/>
      <c r="W845" s="99">
        <f t="shared" si="1192"/>
        <v>2541</v>
      </c>
      <c r="X845" s="100">
        <f t="shared" si="1193"/>
        <v>58.347499999999997</v>
      </c>
      <c r="Y845" s="100">
        <f t="shared" si="1194"/>
        <v>11.8947</v>
      </c>
      <c r="Z845" s="22">
        <f t="shared" si="1195"/>
        <v>8195</v>
      </c>
      <c r="AA845" s="35">
        <f t="shared" si="1196"/>
        <v>0</v>
      </c>
      <c r="AB845" s="22">
        <f t="shared" si="1428"/>
        <v>8</v>
      </c>
      <c r="AC845" s="137">
        <f>ROUND(I845+mwreg!$G$90/100,3)</f>
        <v>-0.40600000000000003</v>
      </c>
      <c r="AD845" s="134">
        <f>ROUND(J845+mwreg!$G$90/100,3)</f>
        <v>0.77900000000000003</v>
      </c>
      <c r="AE845" s="134">
        <f>ROUND(K845+mwreg!$G$90/100,3)</f>
        <v>5.6000000000000001E-2</v>
      </c>
      <c r="AF845" s="132">
        <f t="shared" si="1427"/>
        <v>0.18110000000000001</v>
      </c>
      <c r="AG845" s="164">
        <f t="shared" si="1426"/>
        <v>1.9300000000000001E-2</v>
      </c>
      <c r="AH845" s="164">
        <f t="shared" si="1216"/>
        <v>2.1000000000000001E-2</v>
      </c>
      <c r="AI845" s="135">
        <f t="shared" si="1217"/>
        <v>180</v>
      </c>
      <c r="AJ845" s="135">
        <f t="shared" si="1218"/>
        <v>60</v>
      </c>
      <c r="AK845" s="134">
        <f t="shared" si="1219"/>
        <v>1E-3</v>
      </c>
      <c r="AL845" s="135">
        <f t="shared" si="1220"/>
        <v>3</v>
      </c>
      <c r="AM845" s="135">
        <f t="shared" si="1221"/>
        <v>1500</v>
      </c>
      <c r="AN845" s="134">
        <f t="shared" si="1222"/>
        <v>0.1</v>
      </c>
      <c r="AO845" s="187">
        <f t="shared" si="1223"/>
        <v>420558</v>
      </c>
    </row>
    <row r="846" spans="1:41" x14ac:dyDescent="0.2">
      <c r="A846" s="3" t="s">
        <v>296</v>
      </c>
      <c r="B846" s="3" t="s">
        <v>296</v>
      </c>
      <c r="C846" s="55">
        <v>2541</v>
      </c>
      <c r="D846" s="79">
        <v>58.347499999999997</v>
      </c>
      <c r="E846" s="79">
        <v>11.8947</v>
      </c>
      <c r="F846" s="14">
        <v>8195</v>
      </c>
      <c r="G846" s="10">
        <v>0</v>
      </c>
      <c r="H846" s="122">
        <v>9</v>
      </c>
      <c r="I846" s="165">
        <v>-0.498</v>
      </c>
      <c r="J846" s="11">
        <v>1.2689999999999999</v>
      </c>
      <c r="K846" s="11">
        <v>0.127</v>
      </c>
      <c r="L846" s="79">
        <v>0.2329</v>
      </c>
      <c r="M846" s="79">
        <v>4.4299999999999999E-2</v>
      </c>
      <c r="N846" s="79">
        <v>4.5999999999999999E-2</v>
      </c>
      <c r="O846" s="14">
        <v>180</v>
      </c>
      <c r="P846" s="14">
        <v>60</v>
      </c>
      <c r="Q846" s="11">
        <v>1E-3</v>
      </c>
      <c r="R846" s="14">
        <v>3</v>
      </c>
      <c r="S846" s="14">
        <v>1500</v>
      </c>
      <c r="T846" s="11">
        <v>0.1</v>
      </c>
      <c r="U846" s="122">
        <v>423146</v>
      </c>
      <c r="V846" s="22"/>
      <c r="W846" s="99">
        <f t="shared" ref="W846:W897" si="1429">C846</f>
        <v>2541</v>
      </c>
      <c r="X846" s="100">
        <f t="shared" ref="X846:X897" si="1430">D846</f>
        <v>58.347499999999997</v>
      </c>
      <c r="Y846" s="100">
        <f t="shared" ref="Y846:Y897" si="1431">E846</f>
        <v>11.8947</v>
      </c>
      <c r="Z846" s="22">
        <f t="shared" ref="Z846:Z897" si="1432">F846</f>
        <v>8195</v>
      </c>
      <c r="AA846" s="35">
        <f t="shared" ref="AA846:AA897" si="1433">G846</f>
        <v>0</v>
      </c>
      <c r="AB846" s="22">
        <f t="shared" si="1428"/>
        <v>9</v>
      </c>
      <c r="AC846" s="137">
        <f>ROUND(I846+mwreg!$G$90/100,3)</f>
        <v>-0.53100000000000003</v>
      </c>
      <c r="AD846" s="134">
        <f>ROUND(J846+mwreg!$G$90/100,3)</f>
        <v>1.236</v>
      </c>
      <c r="AE846" s="134">
        <f>ROUND(K846+mwreg!$G$90/100,3)</f>
        <v>9.4E-2</v>
      </c>
      <c r="AF846" s="132">
        <f t="shared" si="1427"/>
        <v>0.2329</v>
      </c>
      <c r="AG846" s="164">
        <f t="shared" si="1426"/>
        <v>4.4299999999999999E-2</v>
      </c>
      <c r="AH846" s="164">
        <f t="shared" si="1216"/>
        <v>4.5999999999999999E-2</v>
      </c>
      <c r="AI846" s="135">
        <f t="shared" si="1217"/>
        <v>180</v>
      </c>
      <c r="AJ846" s="135">
        <f t="shared" si="1218"/>
        <v>60</v>
      </c>
      <c r="AK846" s="134">
        <f t="shared" si="1219"/>
        <v>1E-3</v>
      </c>
      <c r="AL846" s="135">
        <f t="shared" si="1220"/>
        <v>3</v>
      </c>
      <c r="AM846" s="135">
        <f t="shared" si="1221"/>
        <v>1500</v>
      </c>
      <c r="AN846" s="134">
        <f t="shared" si="1222"/>
        <v>0.1</v>
      </c>
      <c r="AO846" s="187">
        <f t="shared" si="1223"/>
        <v>423146</v>
      </c>
    </row>
    <row r="847" spans="1:41" x14ac:dyDescent="0.2">
      <c r="A847" s="3" t="s">
        <v>296</v>
      </c>
      <c r="B847" s="3" t="s">
        <v>296</v>
      </c>
      <c r="C847" s="55">
        <v>2541</v>
      </c>
      <c r="D847" s="79">
        <v>58.347499999999997</v>
      </c>
      <c r="E847" s="79">
        <v>11.8947</v>
      </c>
      <c r="F847" s="14">
        <v>8195</v>
      </c>
      <c r="G847" s="10">
        <v>0</v>
      </c>
      <c r="H847" s="122">
        <v>10</v>
      </c>
      <c r="I847" s="165">
        <v>-0.747</v>
      </c>
      <c r="J847" s="11">
        <v>1.0549999999999999</v>
      </c>
      <c r="K847" s="11">
        <v>0.10299999999999999</v>
      </c>
      <c r="L847" s="79">
        <v>0.26879999999999998</v>
      </c>
      <c r="M847" s="79">
        <v>0.1017</v>
      </c>
      <c r="N847" s="79">
        <v>0.10349999999999999</v>
      </c>
      <c r="O847" s="14">
        <v>180</v>
      </c>
      <c r="P847" s="14">
        <v>60</v>
      </c>
      <c r="Q847" s="11">
        <v>1E-3</v>
      </c>
      <c r="R847" s="14">
        <v>3</v>
      </c>
      <c r="S847" s="14">
        <v>1500</v>
      </c>
      <c r="T847" s="11">
        <v>0.1</v>
      </c>
      <c r="U847" s="122">
        <v>427176</v>
      </c>
      <c r="V847" s="22"/>
      <c r="W847" s="99">
        <f t="shared" si="1429"/>
        <v>2541</v>
      </c>
      <c r="X847" s="100">
        <f t="shared" si="1430"/>
        <v>58.347499999999997</v>
      </c>
      <c r="Y847" s="100">
        <f t="shared" si="1431"/>
        <v>11.8947</v>
      </c>
      <c r="Z847" s="22">
        <f t="shared" si="1432"/>
        <v>8195</v>
      </c>
      <c r="AA847" s="35">
        <f t="shared" si="1433"/>
        <v>0</v>
      </c>
      <c r="AB847" s="22">
        <f t="shared" si="1428"/>
        <v>10</v>
      </c>
      <c r="AC847" s="137">
        <f>ROUND(I847+mwreg!$G$90/100,3)</f>
        <v>-0.78</v>
      </c>
      <c r="AD847" s="134">
        <f>ROUND(J847+mwreg!$G$90/100,3)</f>
        <v>1.022</v>
      </c>
      <c r="AE847" s="134">
        <f>ROUND(K847+mwreg!$G$90/100,3)</f>
        <v>7.0000000000000007E-2</v>
      </c>
      <c r="AF847" s="132">
        <f t="shared" si="1427"/>
        <v>0.26879999999999998</v>
      </c>
      <c r="AG847" s="164">
        <f t="shared" si="1426"/>
        <v>0.1017</v>
      </c>
      <c r="AH847" s="164">
        <f t="shared" si="1216"/>
        <v>0.10349999999999999</v>
      </c>
      <c r="AI847" s="135">
        <f t="shared" si="1217"/>
        <v>180</v>
      </c>
      <c r="AJ847" s="135">
        <f t="shared" si="1218"/>
        <v>60</v>
      </c>
      <c r="AK847" s="134">
        <f t="shared" si="1219"/>
        <v>1E-3</v>
      </c>
      <c r="AL847" s="135">
        <f t="shared" si="1220"/>
        <v>3</v>
      </c>
      <c r="AM847" s="135">
        <f t="shared" si="1221"/>
        <v>1500</v>
      </c>
      <c r="AN847" s="134">
        <f t="shared" si="1222"/>
        <v>0.1</v>
      </c>
      <c r="AO847" s="187">
        <f t="shared" si="1223"/>
        <v>427176</v>
      </c>
    </row>
    <row r="848" spans="1:41" x14ac:dyDescent="0.2">
      <c r="A848" s="3" t="s">
        <v>296</v>
      </c>
      <c r="B848" s="3" t="s">
        <v>296</v>
      </c>
      <c r="C848" s="55">
        <v>2541</v>
      </c>
      <c r="D848" s="79">
        <v>58.347499999999997</v>
      </c>
      <c r="E848" s="79">
        <v>11.8947</v>
      </c>
      <c r="F848" s="14">
        <v>8195</v>
      </c>
      <c r="G848" s="10">
        <v>0</v>
      </c>
      <c r="H848" s="122">
        <v>11</v>
      </c>
      <c r="I848" s="165">
        <v>-0.57999999999999996</v>
      </c>
      <c r="J848" s="11">
        <v>1.3620000000000001</v>
      </c>
      <c r="K848" s="11">
        <v>0.126</v>
      </c>
      <c r="L848" s="79">
        <v>0.27350000000000002</v>
      </c>
      <c r="M848" s="79">
        <v>4.6100000000000002E-2</v>
      </c>
      <c r="N848" s="79">
        <v>4.8000000000000001E-2</v>
      </c>
      <c r="O848" s="14">
        <v>180</v>
      </c>
      <c r="P848" s="14">
        <v>60</v>
      </c>
      <c r="Q848" s="11">
        <v>1E-3</v>
      </c>
      <c r="R848" s="14">
        <v>3</v>
      </c>
      <c r="S848" s="14">
        <v>1500</v>
      </c>
      <c r="T848" s="11">
        <v>0.1</v>
      </c>
      <c r="U848" s="122">
        <v>428827</v>
      </c>
      <c r="V848" s="22"/>
      <c r="W848" s="99">
        <f t="shared" si="1429"/>
        <v>2541</v>
      </c>
      <c r="X848" s="100">
        <f t="shared" si="1430"/>
        <v>58.347499999999997</v>
      </c>
      <c r="Y848" s="100">
        <f t="shared" si="1431"/>
        <v>11.8947</v>
      </c>
      <c r="Z848" s="22">
        <f t="shared" si="1432"/>
        <v>8195</v>
      </c>
      <c r="AA848" s="35">
        <f t="shared" si="1433"/>
        <v>0</v>
      </c>
      <c r="AB848" s="22">
        <f t="shared" si="1428"/>
        <v>11</v>
      </c>
      <c r="AC848" s="137">
        <f>ROUND(I848+mwreg!$G$90/100,3)</f>
        <v>-0.61299999999999999</v>
      </c>
      <c r="AD848" s="134">
        <f>ROUND(J848+mwreg!$G$90/100,3)</f>
        <v>1.329</v>
      </c>
      <c r="AE848" s="134">
        <f>ROUND(K848+mwreg!$G$90/100,3)</f>
        <v>9.2999999999999999E-2</v>
      </c>
      <c r="AF848" s="132">
        <f t="shared" si="1427"/>
        <v>0.27350000000000002</v>
      </c>
      <c r="AG848" s="164">
        <f t="shared" si="1426"/>
        <v>4.6100000000000002E-2</v>
      </c>
      <c r="AH848" s="164">
        <f t="shared" si="1216"/>
        <v>4.8000000000000001E-2</v>
      </c>
      <c r="AI848" s="135">
        <f t="shared" si="1217"/>
        <v>180</v>
      </c>
      <c r="AJ848" s="135">
        <f t="shared" si="1218"/>
        <v>60</v>
      </c>
      <c r="AK848" s="134">
        <f t="shared" si="1219"/>
        <v>1E-3</v>
      </c>
      <c r="AL848" s="135">
        <f t="shared" si="1220"/>
        <v>3</v>
      </c>
      <c r="AM848" s="135">
        <f t="shared" si="1221"/>
        <v>1500</v>
      </c>
      <c r="AN848" s="134">
        <f t="shared" si="1222"/>
        <v>0.1</v>
      </c>
      <c r="AO848" s="187">
        <f t="shared" si="1223"/>
        <v>428827</v>
      </c>
    </row>
    <row r="849" spans="1:41" x14ac:dyDescent="0.2">
      <c r="A849" s="3" t="s">
        <v>296</v>
      </c>
      <c r="B849" s="3" t="s">
        <v>296</v>
      </c>
      <c r="C849" s="55">
        <v>2541</v>
      </c>
      <c r="D849" s="79">
        <v>58.347499999999997</v>
      </c>
      <c r="E849" s="79">
        <v>11.8947</v>
      </c>
      <c r="F849" s="14">
        <v>8195</v>
      </c>
      <c r="G849" s="10">
        <v>0</v>
      </c>
      <c r="H849" s="122">
        <v>12</v>
      </c>
      <c r="I849" s="165">
        <v>-0.73699999999999999</v>
      </c>
      <c r="J849" s="11">
        <v>1.6259999999999999</v>
      </c>
      <c r="K849" s="11">
        <v>0.19700000000000001</v>
      </c>
      <c r="L849" s="79">
        <v>0.31940000000000002</v>
      </c>
      <c r="M849" s="79">
        <v>0.1249</v>
      </c>
      <c r="N849" s="79">
        <v>0.127</v>
      </c>
      <c r="O849" s="14">
        <v>180</v>
      </c>
      <c r="P849" s="14">
        <v>60</v>
      </c>
      <c r="Q849" s="11">
        <v>1E-3</v>
      </c>
      <c r="R849" s="14">
        <v>3</v>
      </c>
      <c r="S849" s="14">
        <v>1500</v>
      </c>
      <c r="T849" s="11">
        <v>0.1</v>
      </c>
      <c r="U849" s="122">
        <v>409210</v>
      </c>
      <c r="V849" s="22"/>
      <c r="W849" s="99">
        <f t="shared" si="1429"/>
        <v>2541</v>
      </c>
      <c r="X849" s="100">
        <f t="shared" si="1430"/>
        <v>58.347499999999997</v>
      </c>
      <c r="Y849" s="100">
        <f t="shared" si="1431"/>
        <v>11.8947</v>
      </c>
      <c r="Z849" s="22">
        <f t="shared" si="1432"/>
        <v>8195</v>
      </c>
      <c r="AA849" s="35">
        <f t="shared" si="1433"/>
        <v>0</v>
      </c>
      <c r="AB849" s="22">
        <f t="shared" si="1428"/>
        <v>12</v>
      </c>
      <c r="AC849" s="137">
        <f>ROUND(I849+mwreg!$G$90/100,3)</f>
        <v>-0.77</v>
      </c>
      <c r="AD849" s="134">
        <f>ROUND(J849+mwreg!$G$90/100,3)</f>
        <v>1.593</v>
      </c>
      <c r="AE849" s="134">
        <f>ROUND(K849+mwreg!$G$90/100,3)</f>
        <v>0.16400000000000001</v>
      </c>
      <c r="AF849" s="132">
        <f t="shared" si="1427"/>
        <v>0.31940000000000002</v>
      </c>
      <c r="AG849" s="164">
        <f t="shared" si="1426"/>
        <v>0.1249</v>
      </c>
      <c r="AH849" s="164">
        <f t="shared" si="1216"/>
        <v>0.127</v>
      </c>
      <c r="AI849" s="135">
        <f t="shared" si="1217"/>
        <v>180</v>
      </c>
      <c r="AJ849" s="135">
        <f t="shared" si="1218"/>
        <v>60</v>
      </c>
      <c r="AK849" s="134">
        <f t="shared" si="1219"/>
        <v>1E-3</v>
      </c>
      <c r="AL849" s="135">
        <f t="shared" si="1220"/>
        <v>3</v>
      </c>
      <c r="AM849" s="135">
        <f t="shared" si="1221"/>
        <v>1500</v>
      </c>
      <c r="AN849" s="134">
        <f t="shared" si="1222"/>
        <v>0.1</v>
      </c>
      <c r="AO849" s="187">
        <f t="shared" si="1223"/>
        <v>409210</v>
      </c>
    </row>
    <row r="850" spans="1:41" x14ac:dyDescent="0.2">
      <c r="A850" s="3">
        <f>stat_uppg!A81</f>
        <v>33099</v>
      </c>
      <c r="B850" s="3" t="str">
        <f>stat_uppg!B81</f>
        <v>KRISTINEBERG (GU)</v>
      </c>
      <c r="C850" s="52">
        <v>33099</v>
      </c>
      <c r="D850" s="105">
        <v>58.25</v>
      </c>
      <c r="E850" s="105">
        <v>11.45</v>
      </c>
      <c r="F850" s="20">
        <v>8195</v>
      </c>
      <c r="G850" s="18">
        <v>0</v>
      </c>
      <c r="H850" s="53">
        <v>1</v>
      </c>
      <c r="I850" s="167">
        <f t="shared" ref="I850:K861" si="1434">ROUND(0.06*I718+0.94*I874,3)</f>
        <v>-1.141</v>
      </c>
      <c r="J850" s="104">
        <f t="shared" si="1434"/>
        <v>1.2849999999999999</v>
      </c>
      <c r="K850" s="104">
        <f t="shared" si="1434"/>
        <v>8.1000000000000003E-2</v>
      </c>
      <c r="L850" s="105">
        <f t="shared" ref="L850:L861" si="1435">ROUND(0.06*L718+0.94*L874,4)</f>
        <v>0.27479999999999999</v>
      </c>
      <c r="M850" s="105" t="s">
        <v>282</v>
      </c>
      <c r="N850" s="105" t="s">
        <v>282</v>
      </c>
      <c r="O850" s="20">
        <f>ROUND(0.06*O718+0.94*O874,0)</f>
        <v>180</v>
      </c>
      <c r="P850" s="20">
        <f>ROUND(0.06*P718+0.94*P874,0)</f>
        <v>60</v>
      </c>
      <c r="Q850" s="104">
        <f t="shared" ref="Q850:Q861" si="1436">ROUND(0.06*Q718+0.94*Q874,3)</f>
        <v>1E-3</v>
      </c>
      <c r="R850" s="20">
        <f>ROUND(0.06*R718+0.94*R874,0)</f>
        <v>3</v>
      </c>
      <c r="S850" s="20">
        <f>ROUND(0.06*S718+0.94*S874,0)</f>
        <v>1500</v>
      </c>
      <c r="T850" s="104">
        <f t="shared" ref="T850:T861" si="1437">ROUND(0.06*T718+0.94*T874,3)</f>
        <v>0.1</v>
      </c>
      <c r="U850" s="123" t="s">
        <v>282</v>
      </c>
      <c r="V850" s="21"/>
      <c r="W850" s="58">
        <f t="shared" si="1429"/>
        <v>33099</v>
      </c>
      <c r="X850" s="102">
        <f t="shared" ref="X850:X861" si="1438">D850</f>
        <v>58.25</v>
      </c>
      <c r="Y850" s="102">
        <f t="shared" ref="Y850:Y861" si="1439">E850</f>
        <v>11.45</v>
      </c>
      <c r="Z850" s="21">
        <f t="shared" ref="Z850:Z861" si="1440">F850</f>
        <v>8195</v>
      </c>
      <c r="AA850" s="44">
        <f t="shared" ref="AA850:AA861" si="1441">G850</f>
        <v>0</v>
      </c>
      <c r="AB850" s="21">
        <f t="shared" ref="AB850:AB861" si="1442">H850</f>
        <v>1</v>
      </c>
      <c r="AC850" s="119">
        <f>ROUND(I850+mwreg!$G$91/100,3)</f>
        <v>-1.1850000000000001</v>
      </c>
      <c r="AD850" s="108">
        <f>ROUND(J850+mwreg!$G$91/100,3)</f>
        <v>1.2410000000000001</v>
      </c>
      <c r="AE850" s="108">
        <f>ROUND(K850+mwreg!$G$91/100,3)</f>
        <v>3.6999999999999998E-2</v>
      </c>
      <c r="AF850" s="102">
        <f t="shared" si="1427"/>
        <v>0.27479999999999999</v>
      </c>
      <c r="AG850" s="109" t="str">
        <f t="shared" ref="AG850:AG861" si="1443">M850</f>
        <v>NaN</v>
      </c>
      <c r="AH850" s="109" t="str">
        <f t="shared" si="1216"/>
        <v>NaN</v>
      </c>
      <c r="AI850" s="110">
        <f t="shared" si="1217"/>
        <v>180</v>
      </c>
      <c r="AJ850" s="110">
        <f t="shared" si="1218"/>
        <v>60</v>
      </c>
      <c r="AK850" s="108">
        <f t="shared" si="1219"/>
        <v>1E-3</v>
      </c>
      <c r="AL850" s="110">
        <f t="shared" si="1220"/>
        <v>3</v>
      </c>
      <c r="AM850" s="110">
        <f t="shared" si="1221"/>
        <v>1500</v>
      </c>
      <c r="AN850" s="108">
        <f t="shared" si="1222"/>
        <v>0.1</v>
      </c>
      <c r="AO850" s="197" t="str">
        <f t="shared" si="1223"/>
        <v>NaN</v>
      </c>
    </row>
    <row r="851" spans="1:41" x14ac:dyDescent="0.2">
      <c r="A851" s="3" t="s">
        <v>296</v>
      </c>
      <c r="B851" s="3" t="s">
        <v>296</v>
      </c>
      <c r="C851" s="52">
        <v>33099</v>
      </c>
      <c r="D851" s="105">
        <v>58.25</v>
      </c>
      <c r="E851" s="105">
        <v>11.45</v>
      </c>
      <c r="F851" s="20">
        <v>8195</v>
      </c>
      <c r="G851" s="18">
        <v>0</v>
      </c>
      <c r="H851" s="53">
        <v>2</v>
      </c>
      <c r="I851" s="167">
        <f t="shared" si="1434"/>
        <v>-0.88</v>
      </c>
      <c r="J851" s="104">
        <f t="shared" si="1434"/>
        <v>1.35</v>
      </c>
      <c r="K851" s="104">
        <f t="shared" si="1434"/>
        <v>2.3E-2</v>
      </c>
      <c r="L851" s="105">
        <f t="shared" si="1435"/>
        <v>0.29389999999999999</v>
      </c>
      <c r="M851" s="105" t="s">
        <v>282</v>
      </c>
      <c r="N851" s="105" t="s">
        <v>282</v>
      </c>
      <c r="O851" s="20">
        <f t="shared" ref="O851:P851" si="1444">ROUND(0.06*O719+0.94*O875,0)</f>
        <v>180</v>
      </c>
      <c r="P851" s="20">
        <f t="shared" si="1444"/>
        <v>60</v>
      </c>
      <c r="Q851" s="104">
        <f t="shared" si="1436"/>
        <v>1E-3</v>
      </c>
      <c r="R851" s="20">
        <f t="shared" ref="R851:S851" si="1445">ROUND(0.06*R719+0.94*R875,0)</f>
        <v>3</v>
      </c>
      <c r="S851" s="20">
        <f t="shared" si="1445"/>
        <v>1500</v>
      </c>
      <c r="T851" s="104">
        <f t="shared" si="1437"/>
        <v>0.1</v>
      </c>
      <c r="U851" s="123" t="s">
        <v>282</v>
      </c>
      <c r="V851" s="21"/>
      <c r="W851" s="58">
        <f t="shared" si="1429"/>
        <v>33099</v>
      </c>
      <c r="X851" s="102">
        <f t="shared" si="1438"/>
        <v>58.25</v>
      </c>
      <c r="Y851" s="102">
        <f t="shared" si="1439"/>
        <v>11.45</v>
      </c>
      <c r="Z851" s="21">
        <f t="shared" si="1440"/>
        <v>8195</v>
      </c>
      <c r="AA851" s="44">
        <f t="shared" si="1441"/>
        <v>0</v>
      </c>
      <c r="AB851" s="21">
        <f t="shared" si="1442"/>
        <v>2</v>
      </c>
      <c r="AC851" s="119">
        <f>ROUND(I851+mwreg!$G$91/100,3)</f>
        <v>-0.92400000000000004</v>
      </c>
      <c r="AD851" s="108">
        <f>ROUND(J851+mwreg!$G$91/100,3)</f>
        <v>1.306</v>
      </c>
      <c r="AE851" s="108">
        <f>ROUND(K851+mwreg!$G$91/100,3)</f>
        <v>-2.1000000000000001E-2</v>
      </c>
      <c r="AF851" s="102">
        <f t="shared" si="1427"/>
        <v>0.29389999999999999</v>
      </c>
      <c r="AG851" s="109" t="str">
        <f t="shared" si="1443"/>
        <v>NaN</v>
      </c>
      <c r="AH851" s="109" t="str">
        <f t="shared" si="1216"/>
        <v>NaN</v>
      </c>
      <c r="AI851" s="110">
        <f t="shared" si="1217"/>
        <v>180</v>
      </c>
      <c r="AJ851" s="110">
        <f t="shared" si="1218"/>
        <v>60</v>
      </c>
      <c r="AK851" s="108">
        <f t="shared" si="1219"/>
        <v>1E-3</v>
      </c>
      <c r="AL851" s="110">
        <f t="shared" si="1220"/>
        <v>3</v>
      </c>
      <c r="AM851" s="110">
        <f t="shared" si="1221"/>
        <v>1500</v>
      </c>
      <c r="AN851" s="108">
        <f t="shared" si="1222"/>
        <v>0.1</v>
      </c>
      <c r="AO851" s="197" t="str">
        <f t="shared" si="1223"/>
        <v>NaN</v>
      </c>
    </row>
    <row r="852" spans="1:41" x14ac:dyDescent="0.2">
      <c r="A852" s="3" t="s">
        <v>296</v>
      </c>
      <c r="B852" s="3" t="s">
        <v>296</v>
      </c>
      <c r="C852" s="52">
        <v>33099</v>
      </c>
      <c r="D852" s="105">
        <v>58.25</v>
      </c>
      <c r="E852" s="105">
        <v>11.45</v>
      </c>
      <c r="F852" s="20">
        <v>8195</v>
      </c>
      <c r="G852" s="18">
        <v>0</v>
      </c>
      <c r="H852" s="53">
        <v>3</v>
      </c>
      <c r="I852" s="167">
        <f t="shared" si="1434"/>
        <v>-0.88900000000000001</v>
      </c>
      <c r="J852" s="104">
        <f t="shared" si="1434"/>
        <v>1.218</v>
      </c>
      <c r="K852" s="104">
        <f t="shared" si="1434"/>
        <v>-5.1999999999999998E-2</v>
      </c>
      <c r="L852" s="105">
        <f t="shared" si="1435"/>
        <v>0.22770000000000001</v>
      </c>
      <c r="M852" s="105" t="s">
        <v>282</v>
      </c>
      <c r="N852" s="105" t="s">
        <v>282</v>
      </c>
      <c r="O852" s="20">
        <f t="shared" ref="O852:P852" si="1446">ROUND(0.06*O720+0.94*O876,0)</f>
        <v>180</v>
      </c>
      <c r="P852" s="20">
        <f t="shared" si="1446"/>
        <v>60</v>
      </c>
      <c r="Q852" s="104">
        <f t="shared" si="1436"/>
        <v>1E-3</v>
      </c>
      <c r="R852" s="20">
        <f t="shared" ref="R852:S852" si="1447">ROUND(0.06*R720+0.94*R876,0)</f>
        <v>3</v>
      </c>
      <c r="S852" s="20">
        <f t="shared" si="1447"/>
        <v>1500</v>
      </c>
      <c r="T852" s="104">
        <f t="shared" si="1437"/>
        <v>0.1</v>
      </c>
      <c r="U852" s="123" t="s">
        <v>282</v>
      </c>
      <c r="V852" s="21"/>
      <c r="W852" s="58">
        <f t="shared" si="1429"/>
        <v>33099</v>
      </c>
      <c r="X852" s="102">
        <f t="shared" si="1438"/>
        <v>58.25</v>
      </c>
      <c r="Y852" s="102">
        <f t="shared" si="1439"/>
        <v>11.45</v>
      </c>
      <c r="Z852" s="21">
        <f t="shared" si="1440"/>
        <v>8195</v>
      </c>
      <c r="AA852" s="44">
        <f t="shared" si="1441"/>
        <v>0</v>
      </c>
      <c r="AB852" s="21">
        <f t="shared" si="1442"/>
        <v>3</v>
      </c>
      <c r="AC852" s="119">
        <f>ROUND(I852+mwreg!$G$91/100,3)</f>
        <v>-0.93300000000000005</v>
      </c>
      <c r="AD852" s="108">
        <f>ROUND(J852+mwreg!$G$91/100,3)</f>
        <v>1.1739999999999999</v>
      </c>
      <c r="AE852" s="108">
        <f>ROUND(K852+mwreg!$G$91/100,3)</f>
        <v>-9.6000000000000002E-2</v>
      </c>
      <c r="AF852" s="102">
        <f t="shared" si="1427"/>
        <v>0.22770000000000001</v>
      </c>
      <c r="AG852" s="109" t="str">
        <f t="shared" si="1443"/>
        <v>NaN</v>
      </c>
      <c r="AH852" s="109" t="str">
        <f t="shared" si="1216"/>
        <v>NaN</v>
      </c>
      <c r="AI852" s="110">
        <f t="shared" si="1217"/>
        <v>180</v>
      </c>
      <c r="AJ852" s="110">
        <f t="shared" si="1218"/>
        <v>60</v>
      </c>
      <c r="AK852" s="108">
        <f t="shared" si="1219"/>
        <v>1E-3</v>
      </c>
      <c r="AL852" s="110">
        <f t="shared" si="1220"/>
        <v>3</v>
      </c>
      <c r="AM852" s="110">
        <f t="shared" si="1221"/>
        <v>1500</v>
      </c>
      <c r="AN852" s="108">
        <f t="shared" si="1222"/>
        <v>0.1</v>
      </c>
      <c r="AO852" s="197" t="str">
        <f t="shared" si="1223"/>
        <v>NaN</v>
      </c>
    </row>
    <row r="853" spans="1:41" x14ac:dyDescent="0.2">
      <c r="A853" s="3" t="s">
        <v>296</v>
      </c>
      <c r="B853" s="3" t="s">
        <v>296</v>
      </c>
      <c r="C853" s="52">
        <v>33099</v>
      </c>
      <c r="D853" s="105">
        <v>58.25</v>
      </c>
      <c r="E853" s="105">
        <v>11.45</v>
      </c>
      <c r="F853" s="20">
        <v>8195</v>
      </c>
      <c r="G853" s="18">
        <v>0</v>
      </c>
      <c r="H853" s="53">
        <v>4</v>
      </c>
      <c r="I853" s="167">
        <f t="shared" si="1434"/>
        <v>-0.76400000000000001</v>
      </c>
      <c r="J853" s="104">
        <f t="shared" si="1434"/>
        <v>0.84799999999999998</v>
      </c>
      <c r="K853" s="104">
        <f t="shared" si="1434"/>
        <v>-9.9000000000000005E-2</v>
      </c>
      <c r="L853" s="105">
        <f t="shared" si="1435"/>
        <v>0.1709</v>
      </c>
      <c r="M853" s="105" t="s">
        <v>282</v>
      </c>
      <c r="N853" s="105" t="s">
        <v>282</v>
      </c>
      <c r="O853" s="20">
        <f t="shared" ref="O853:P853" si="1448">ROUND(0.06*O721+0.94*O877,0)</f>
        <v>180</v>
      </c>
      <c r="P853" s="20">
        <f t="shared" si="1448"/>
        <v>60</v>
      </c>
      <c r="Q853" s="104">
        <f t="shared" si="1436"/>
        <v>1E-3</v>
      </c>
      <c r="R853" s="20">
        <f t="shared" ref="R853:S853" si="1449">ROUND(0.06*R721+0.94*R877,0)</f>
        <v>3</v>
      </c>
      <c r="S853" s="20">
        <f t="shared" si="1449"/>
        <v>1500</v>
      </c>
      <c r="T853" s="104">
        <f t="shared" si="1437"/>
        <v>0.1</v>
      </c>
      <c r="U853" s="123" t="s">
        <v>282</v>
      </c>
      <c r="V853" s="21"/>
      <c r="W853" s="58">
        <f t="shared" si="1429"/>
        <v>33099</v>
      </c>
      <c r="X853" s="102">
        <f t="shared" si="1438"/>
        <v>58.25</v>
      </c>
      <c r="Y853" s="102">
        <f t="shared" si="1439"/>
        <v>11.45</v>
      </c>
      <c r="Z853" s="21">
        <f t="shared" si="1440"/>
        <v>8195</v>
      </c>
      <c r="AA853" s="44">
        <f t="shared" si="1441"/>
        <v>0</v>
      </c>
      <c r="AB853" s="21">
        <f t="shared" si="1442"/>
        <v>4</v>
      </c>
      <c r="AC853" s="119">
        <f>ROUND(I853+mwreg!$G$91/100,3)</f>
        <v>-0.80800000000000005</v>
      </c>
      <c r="AD853" s="108">
        <f>ROUND(J853+mwreg!$G$91/100,3)</f>
        <v>0.80400000000000005</v>
      </c>
      <c r="AE853" s="108">
        <f>ROUND(K853+mwreg!$G$91/100,3)</f>
        <v>-0.14299999999999999</v>
      </c>
      <c r="AF853" s="102">
        <f t="shared" si="1427"/>
        <v>0.1709</v>
      </c>
      <c r="AG853" s="109" t="str">
        <f t="shared" si="1443"/>
        <v>NaN</v>
      </c>
      <c r="AH853" s="109" t="str">
        <f t="shared" si="1216"/>
        <v>NaN</v>
      </c>
      <c r="AI853" s="110">
        <f t="shared" si="1217"/>
        <v>180</v>
      </c>
      <c r="AJ853" s="110">
        <f t="shared" si="1218"/>
        <v>60</v>
      </c>
      <c r="AK853" s="108">
        <f t="shared" si="1219"/>
        <v>1E-3</v>
      </c>
      <c r="AL853" s="110">
        <f t="shared" si="1220"/>
        <v>3</v>
      </c>
      <c r="AM853" s="110">
        <f t="shared" si="1221"/>
        <v>1500</v>
      </c>
      <c r="AN853" s="108">
        <f t="shared" si="1222"/>
        <v>0.1</v>
      </c>
      <c r="AO853" s="197" t="str">
        <f t="shared" si="1223"/>
        <v>NaN</v>
      </c>
    </row>
    <row r="854" spans="1:41" x14ac:dyDescent="0.2">
      <c r="A854" s="3" t="s">
        <v>296</v>
      </c>
      <c r="B854" s="3" t="s">
        <v>296</v>
      </c>
      <c r="C854" s="52">
        <v>33099</v>
      </c>
      <c r="D854" s="105">
        <v>58.25</v>
      </c>
      <c r="E854" s="105">
        <v>11.45</v>
      </c>
      <c r="F854" s="20">
        <v>8195</v>
      </c>
      <c r="G854" s="18">
        <v>0</v>
      </c>
      <c r="H854" s="53">
        <v>5</v>
      </c>
      <c r="I854" s="167">
        <f t="shared" si="1434"/>
        <v>-0.70599999999999996</v>
      </c>
      <c r="J854" s="104">
        <f t="shared" si="1434"/>
        <v>0.58099999999999996</v>
      </c>
      <c r="K854" s="104">
        <f t="shared" si="1434"/>
        <v>-6.6000000000000003E-2</v>
      </c>
      <c r="L854" s="105">
        <f t="shared" si="1435"/>
        <v>0.15579999999999999</v>
      </c>
      <c r="M854" s="105" t="s">
        <v>282</v>
      </c>
      <c r="N854" s="105" t="s">
        <v>282</v>
      </c>
      <c r="O854" s="20">
        <f t="shared" ref="O854:P854" si="1450">ROUND(0.06*O722+0.94*O878,0)</f>
        <v>180</v>
      </c>
      <c r="P854" s="20">
        <f t="shared" si="1450"/>
        <v>60</v>
      </c>
      <c r="Q854" s="104">
        <f t="shared" si="1436"/>
        <v>1E-3</v>
      </c>
      <c r="R854" s="20">
        <f t="shared" ref="R854:S854" si="1451">ROUND(0.06*R722+0.94*R878,0)</f>
        <v>3</v>
      </c>
      <c r="S854" s="20">
        <f t="shared" si="1451"/>
        <v>1500</v>
      </c>
      <c r="T854" s="104">
        <f t="shared" si="1437"/>
        <v>0.1</v>
      </c>
      <c r="U854" s="123" t="s">
        <v>282</v>
      </c>
      <c r="V854" s="21"/>
      <c r="W854" s="58">
        <f t="shared" si="1429"/>
        <v>33099</v>
      </c>
      <c r="X854" s="102">
        <f t="shared" si="1438"/>
        <v>58.25</v>
      </c>
      <c r="Y854" s="102">
        <f t="shared" si="1439"/>
        <v>11.45</v>
      </c>
      <c r="Z854" s="21">
        <f t="shared" si="1440"/>
        <v>8195</v>
      </c>
      <c r="AA854" s="44">
        <f t="shared" si="1441"/>
        <v>0</v>
      </c>
      <c r="AB854" s="21">
        <f t="shared" si="1442"/>
        <v>5</v>
      </c>
      <c r="AC854" s="119">
        <f>ROUND(I854+mwreg!$G$91/100,3)</f>
        <v>-0.75</v>
      </c>
      <c r="AD854" s="108">
        <f>ROUND(J854+mwreg!$G$91/100,3)</f>
        <v>0.53700000000000003</v>
      </c>
      <c r="AE854" s="108">
        <f>ROUND(K854+mwreg!$G$91/100,3)</f>
        <v>-0.11</v>
      </c>
      <c r="AF854" s="102">
        <f t="shared" si="1427"/>
        <v>0.15579999999999999</v>
      </c>
      <c r="AG854" s="109" t="str">
        <f t="shared" si="1443"/>
        <v>NaN</v>
      </c>
      <c r="AH854" s="109" t="str">
        <f t="shared" si="1216"/>
        <v>NaN</v>
      </c>
      <c r="AI854" s="110">
        <f t="shared" si="1217"/>
        <v>180</v>
      </c>
      <c r="AJ854" s="110">
        <f t="shared" si="1218"/>
        <v>60</v>
      </c>
      <c r="AK854" s="108">
        <f t="shared" si="1219"/>
        <v>1E-3</v>
      </c>
      <c r="AL854" s="110">
        <f t="shared" si="1220"/>
        <v>3</v>
      </c>
      <c r="AM854" s="110">
        <f t="shared" si="1221"/>
        <v>1500</v>
      </c>
      <c r="AN854" s="108">
        <f t="shared" si="1222"/>
        <v>0.1</v>
      </c>
      <c r="AO854" s="197" t="str">
        <f t="shared" si="1223"/>
        <v>NaN</v>
      </c>
    </row>
    <row r="855" spans="1:41" x14ac:dyDescent="0.2">
      <c r="A855" s="3" t="s">
        <v>296</v>
      </c>
      <c r="B855" s="3" t="s">
        <v>296</v>
      </c>
      <c r="C855" s="52">
        <v>33099</v>
      </c>
      <c r="D855" s="105">
        <v>58.25</v>
      </c>
      <c r="E855" s="105">
        <v>11.45</v>
      </c>
      <c r="F855" s="20">
        <v>8195</v>
      </c>
      <c r="G855" s="18">
        <v>0</v>
      </c>
      <c r="H855" s="53">
        <v>6</v>
      </c>
      <c r="I855" s="167">
        <f t="shared" si="1434"/>
        <v>-0.53500000000000003</v>
      </c>
      <c r="J855" s="104">
        <f t="shared" si="1434"/>
        <v>0.63700000000000001</v>
      </c>
      <c r="K855" s="104">
        <f t="shared" si="1434"/>
        <v>-1.7999999999999999E-2</v>
      </c>
      <c r="L855" s="105">
        <f t="shared" si="1435"/>
        <v>0.1487</v>
      </c>
      <c r="M855" s="105" t="s">
        <v>282</v>
      </c>
      <c r="N855" s="105" t="s">
        <v>282</v>
      </c>
      <c r="O855" s="20">
        <f t="shared" ref="O855:P855" si="1452">ROUND(0.06*O723+0.94*O879,0)</f>
        <v>180</v>
      </c>
      <c r="P855" s="20">
        <f t="shared" si="1452"/>
        <v>60</v>
      </c>
      <c r="Q855" s="104">
        <f t="shared" si="1436"/>
        <v>1E-3</v>
      </c>
      <c r="R855" s="20">
        <f t="shared" ref="R855:S855" si="1453">ROUND(0.06*R723+0.94*R879,0)</f>
        <v>3</v>
      </c>
      <c r="S855" s="20">
        <f t="shared" si="1453"/>
        <v>1500</v>
      </c>
      <c r="T855" s="104">
        <f t="shared" si="1437"/>
        <v>0.1</v>
      </c>
      <c r="U855" s="123" t="s">
        <v>282</v>
      </c>
      <c r="V855" s="21"/>
      <c r="W855" s="58">
        <f t="shared" si="1429"/>
        <v>33099</v>
      </c>
      <c r="X855" s="102">
        <f t="shared" si="1438"/>
        <v>58.25</v>
      </c>
      <c r="Y855" s="102">
        <f t="shared" si="1439"/>
        <v>11.45</v>
      </c>
      <c r="Z855" s="21">
        <f t="shared" si="1440"/>
        <v>8195</v>
      </c>
      <c r="AA855" s="44">
        <f t="shared" si="1441"/>
        <v>0</v>
      </c>
      <c r="AB855" s="21">
        <f t="shared" si="1442"/>
        <v>6</v>
      </c>
      <c r="AC855" s="119">
        <f>ROUND(I855+mwreg!$G$91/100,3)</f>
        <v>-0.57899999999999996</v>
      </c>
      <c r="AD855" s="108">
        <f>ROUND(J855+mwreg!$G$91/100,3)</f>
        <v>0.59299999999999997</v>
      </c>
      <c r="AE855" s="108">
        <f>ROUND(K855+mwreg!$G$91/100,3)</f>
        <v>-6.2E-2</v>
      </c>
      <c r="AF855" s="102">
        <f t="shared" si="1427"/>
        <v>0.1487</v>
      </c>
      <c r="AG855" s="109" t="str">
        <f t="shared" si="1443"/>
        <v>NaN</v>
      </c>
      <c r="AH855" s="109" t="str">
        <f t="shared" si="1216"/>
        <v>NaN</v>
      </c>
      <c r="AI855" s="110">
        <f t="shared" si="1217"/>
        <v>180</v>
      </c>
      <c r="AJ855" s="110">
        <f t="shared" si="1218"/>
        <v>60</v>
      </c>
      <c r="AK855" s="108">
        <f t="shared" si="1219"/>
        <v>1E-3</v>
      </c>
      <c r="AL855" s="110">
        <f t="shared" si="1220"/>
        <v>3</v>
      </c>
      <c r="AM855" s="110">
        <f t="shared" si="1221"/>
        <v>1500</v>
      </c>
      <c r="AN855" s="108">
        <f t="shared" si="1222"/>
        <v>0.1</v>
      </c>
      <c r="AO855" s="197" t="str">
        <f t="shared" si="1223"/>
        <v>NaN</v>
      </c>
    </row>
    <row r="856" spans="1:41" x14ac:dyDescent="0.2">
      <c r="A856" s="3" t="s">
        <v>296</v>
      </c>
      <c r="B856" s="3" t="s">
        <v>296</v>
      </c>
      <c r="C856" s="52">
        <v>33099</v>
      </c>
      <c r="D856" s="105">
        <v>58.25</v>
      </c>
      <c r="E856" s="105">
        <v>11.45</v>
      </c>
      <c r="F856" s="20">
        <v>8195</v>
      </c>
      <c r="G856" s="18">
        <v>0</v>
      </c>
      <c r="H856" s="53">
        <v>7</v>
      </c>
      <c r="I856" s="167">
        <f t="shared" si="1434"/>
        <v>-0.46600000000000003</v>
      </c>
      <c r="J856" s="104">
        <f t="shared" si="1434"/>
        <v>0.75</v>
      </c>
      <c r="K856" s="104">
        <f t="shared" si="1434"/>
        <v>0.05</v>
      </c>
      <c r="L856" s="105">
        <f t="shared" si="1435"/>
        <v>0.14729999999999999</v>
      </c>
      <c r="M856" s="105" t="s">
        <v>282</v>
      </c>
      <c r="N856" s="105" t="s">
        <v>282</v>
      </c>
      <c r="O856" s="20">
        <f t="shared" ref="O856:P856" si="1454">ROUND(0.06*O724+0.94*O880,0)</f>
        <v>180</v>
      </c>
      <c r="P856" s="20">
        <f t="shared" si="1454"/>
        <v>60</v>
      </c>
      <c r="Q856" s="104">
        <f t="shared" si="1436"/>
        <v>1E-3</v>
      </c>
      <c r="R856" s="20">
        <f t="shared" ref="R856:S856" si="1455">ROUND(0.06*R724+0.94*R880,0)</f>
        <v>3</v>
      </c>
      <c r="S856" s="20">
        <f t="shared" si="1455"/>
        <v>1500</v>
      </c>
      <c r="T856" s="104">
        <f t="shared" si="1437"/>
        <v>0.1</v>
      </c>
      <c r="U856" s="123" t="s">
        <v>282</v>
      </c>
      <c r="V856" s="21"/>
      <c r="W856" s="58">
        <f t="shared" si="1429"/>
        <v>33099</v>
      </c>
      <c r="X856" s="102">
        <f t="shared" si="1438"/>
        <v>58.25</v>
      </c>
      <c r="Y856" s="102">
        <f t="shared" si="1439"/>
        <v>11.45</v>
      </c>
      <c r="Z856" s="21">
        <f t="shared" si="1440"/>
        <v>8195</v>
      </c>
      <c r="AA856" s="44">
        <f t="shared" si="1441"/>
        <v>0</v>
      </c>
      <c r="AB856" s="21">
        <f t="shared" si="1442"/>
        <v>7</v>
      </c>
      <c r="AC856" s="119">
        <f>ROUND(I856+mwreg!$G$91/100,3)</f>
        <v>-0.51</v>
      </c>
      <c r="AD856" s="108">
        <f>ROUND(J856+mwreg!$G$91/100,3)</f>
        <v>0.70599999999999996</v>
      </c>
      <c r="AE856" s="108">
        <f>ROUND(K856+mwreg!$G$91/100,3)</f>
        <v>6.0000000000000001E-3</v>
      </c>
      <c r="AF856" s="102">
        <f t="shared" si="1427"/>
        <v>0.14729999999999999</v>
      </c>
      <c r="AG856" s="109" t="str">
        <f t="shared" si="1443"/>
        <v>NaN</v>
      </c>
      <c r="AH856" s="109" t="str">
        <f t="shared" si="1216"/>
        <v>NaN</v>
      </c>
      <c r="AI856" s="110">
        <f t="shared" si="1217"/>
        <v>180</v>
      </c>
      <c r="AJ856" s="110">
        <f t="shared" si="1218"/>
        <v>60</v>
      </c>
      <c r="AK856" s="108">
        <f t="shared" si="1219"/>
        <v>1E-3</v>
      </c>
      <c r="AL856" s="110">
        <f t="shared" si="1220"/>
        <v>3</v>
      </c>
      <c r="AM856" s="110">
        <f t="shared" si="1221"/>
        <v>1500</v>
      </c>
      <c r="AN856" s="108">
        <f t="shared" si="1222"/>
        <v>0.1</v>
      </c>
      <c r="AO856" s="197" t="str">
        <f t="shared" si="1223"/>
        <v>NaN</v>
      </c>
    </row>
    <row r="857" spans="1:41" x14ac:dyDescent="0.2">
      <c r="A857" s="3" t="s">
        <v>296</v>
      </c>
      <c r="B857" s="3" t="s">
        <v>296</v>
      </c>
      <c r="C857" s="52">
        <v>33099</v>
      </c>
      <c r="D857" s="105">
        <v>58.25</v>
      </c>
      <c r="E857" s="105">
        <v>11.45</v>
      </c>
      <c r="F857" s="20">
        <v>8195</v>
      </c>
      <c r="G857" s="18">
        <v>0</v>
      </c>
      <c r="H857" s="53">
        <v>8</v>
      </c>
      <c r="I857" s="167">
        <f t="shared" si="1434"/>
        <v>-0.46100000000000002</v>
      </c>
      <c r="J857" s="104">
        <f t="shared" si="1434"/>
        <v>0.88500000000000001</v>
      </c>
      <c r="K857" s="104">
        <f t="shared" si="1434"/>
        <v>6.5000000000000002E-2</v>
      </c>
      <c r="L857" s="105">
        <f t="shared" si="1435"/>
        <v>0.15079999999999999</v>
      </c>
      <c r="M857" s="105" t="s">
        <v>282</v>
      </c>
      <c r="N857" s="105" t="s">
        <v>282</v>
      </c>
      <c r="O857" s="20">
        <f t="shared" ref="O857:P857" si="1456">ROUND(0.06*O725+0.94*O881,0)</f>
        <v>180</v>
      </c>
      <c r="P857" s="20">
        <f t="shared" si="1456"/>
        <v>60</v>
      </c>
      <c r="Q857" s="104">
        <f t="shared" si="1436"/>
        <v>1E-3</v>
      </c>
      <c r="R857" s="20">
        <f t="shared" ref="R857:S857" si="1457">ROUND(0.06*R725+0.94*R881,0)</f>
        <v>3</v>
      </c>
      <c r="S857" s="20">
        <f t="shared" si="1457"/>
        <v>1500</v>
      </c>
      <c r="T857" s="104">
        <f t="shared" si="1437"/>
        <v>0.1</v>
      </c>
      <c r="U857" s="123" t="s">
        <v>282</v>
      </c>
      <c r="V857" s="21"/>
      <c r="W857" s="58">
        <f t="shared" si="1429"/>
        <v>33099</v>
      </c>
      <c r="X857" s="102">
        <f t="shared" si="1438"/>
        <v>58.25</v>
      </c>
      <c r="Y857" s="102">
        <f t="shared" si="1439"/>
        <v>11.45</v>
      </c>
      <c r="Z857" s="21">
        <f t="shared" si="1440"/>
        <v>8195</v>
      </c>
      <c r="AA857" s="44">
        <f t="shared" si="1441"/>
        <v>0</v>
      </c>
      <c r="AB857" s="21">
        <f t="shared" si="1442"/>
        <v>8</v>
      </c>
      <c r="AC857" s="119">
        <f>ROUND(I857+mwreg!$G$91/100,3)</f>
        <v>-0.505</v>
      </c>
      <c r="AD857" s="108">
        <f>ROUND(J857+mwreg!$G$91/100,3)</f>
        <v>0.84099999999999997</v>
      </c>
      <c r="AE857" s="108">
        <f>ROUND(K857+mwreg!$G$91/100,3)</f>
        <v>2.1000000000000001E-2</v>
      </c>
      <c r="AF857" s="102">
        <f t="shared" si="1427"/>
        <v>0.15079999999999999</v>
      </c>
      <c r="AG857" s="109" t="str">
        <f t="shared" si="1443"/>
        <v>NaN</v>
      </c>
      <c r="AH857" s="109" t="str">
        <f t="shared" si="1216"/>
        <v>NaN</v>
      </c>
      <c r="AI857" s="110">
        <f t="shared" si="1217"/>
        <v>180</v>
      </c>
      <c r="AJ857" s="110">
        <f t="shared" si="1218"/>
        <v>60</v>
      </c>
      <c r="AK857" s="108">
        <f t="shared" si="1219"/>
        <v>1E-3</v>
      </c>
      <c r="AL857" s="110">
        <f t="shared" si="1220"/>
        <v>3</v>
      </c>
      <c r="AM857" s="110">
        <f t="shared" si="1221"/>
        <v>1500</v>
      </c>
      <c r="AN857" s="108">
        <f t="shared" si="1222"/>
        <v>0.1</v>
      </c>
      <c r="AO857" s="197" t="str">
        <f t="shared" si="1223"/>
        <v>NaN</v>
      </c>
    </row>
    <row r="858" spans="1:41" x14ac:dyDescent="0.2">
      <c r="A858" s="3" t="s">
        <v>296</v>
      </c>
      <c r="B858" s="3" t="s">
        <v>296</v>
      </c>
      <c r="C858" s="52">
        <v>33099</v>
      </c>
      <c r="D858" s="105">
        <v>58.25</v>
      </c>
      <c r="E858" s="105">
        <v>11.45</v>
      </c>
      <c r="F858" s="20">
        <v>8195</v>
      </c>
      <c r="G858" s="18">
        <v>0</v>
      </c>
      <c r="H858" s="53">
        <v>9</v>
      </c>
      <c r="I858" s="167">
        <f t="shared" si="1434"/>
        <v>-0.59099999999999997</v>
      </c>
      <c r="J858" s="104">
        <f t="shared" si="1434"/>
        <v>1.133</v>
      </c>
      <c r="K858" s="104">
        <f t="shared" si="1434"/>
        <v>8.6999999999999994E-2</v>
      </c>
      <c r="L858" s="105">
        <f t="shared" si="1435"/>
        <v>0.19109999999999999</v>
      </c>
      <c r="M858" s="105" t="s">
        <v>282</v>
      </c>
      <c r="N858" s="105" t="s">
        <v>282</v>
      </c>
      <c r="O858" s="20">
        <f t="shared" ref="O858:P858" si="1458">ROUND(0.06*O726+0.94*O882,0)</f>
        <v>180</v>
      </c>
      <c r="P858" s="20">
        <f t="shared" si="1458"/>
        <v>60</v>
      </c>
      <c r="Q858" s="104">
        <f t="shared" si="1436"/>
        <v>1E-3</v>
      </c>
      <c r="R858" s="20">
        <f t="shared" ref="R858:S858" si="1459">ROUND(0.06*R726+0.94*R882,0)</f>
        <v>3</v>
      </c>
      <c r="S858" s="20">
        <f t="shared" si="1459"/>
        <v>1500</v>
      </c>
      <c r="T858" s="104">
        <f t="shared" si="1437"/>
        <v>0.1</v>
      </c>
      <c r="U858" s="123" t="s">
        <v>282</v>
      </c>
      <c r="V858" s="21"/>
      <c r="W858" s="58">
        <f t="shared" si="1429"/>
        <v>33099</v>
      </c>
      <c r="X858" s="102">
        <f t="shared" si="1438"/>
        <v>58.25</v>
      </c>
      <c r="Y858" s="102">
        <f t="shared" si="1439"/>
        <v>11.45</v>
      </c>
      <c r="Z858" s="21">
        <f t="shared" si="1440"/>
        <v>8195</v>
      </c>
      <c r="AA858" s="44">
        <f t="shared" si="1441"/>
        <v>0</v>
      </c>
      <c r="AB858" s="21">
        <f t="shared" si="1442"/>
        <v>9</v>
      </c>
      <c r="AC858" s="119">
        <f>ROUND(I858+mwreg!$G$91/100,3)</f>
        <v>-0.63500000000000001</v>
      </c>
      <c r="AD858" s="108">
        <f>ROUND(J858+mwreg!$G$91/100,3)</f>
        <v>1.089</v>
      </c>
      <c r="AE858" s="108">
        <f>ROUND(K858+mwreg!$G$91/100,3)</f>
        <v>4.2999999999999997E-2</v>
      </c>
      <c r="AF858" s="102">
        <f t="shared" si="1427"/>
        <v>0.19109999999999999</v>
      </c>
      <c r="AG858" s="109" t="str">
        <f t="shared" si="1443"/>
        <v>NaN</v>
      </c>
      <c r="AH858" s="109" t="str">
        <f t="shared" si="1216"/>
        <v>NaN</v>
      </c>
      <c r="AI858" s="110">
        <f t="shared" si="1217"/>
        <v>180</v>
      </c>
      <c r="AJ858" s="110">
        <f t="shared" si="1218"/>
        <v>60</v>
      </c>
      <c r="AK858" s="108">
        <f t="shared" si="1219"/>
        <v>1E-3</v>
      </c>
      <c r="AL858" s="110">
        <f t="shared" si="1220"/>
        <v>3</v>
      </c>
      <c r="AM858" s="110">
        <f t="shared" si="1221"/>
        <v>1500</v>
      </c>
      <c r="AN858" s="108">
        <f t="shared" si="1222"/>
        <v>0.1</v>
      </c>
      <c r="AO858" s="197" t="str">
        <f t="shared" si="1223"/>
        <v>NaN</v>
      </c>
    </row>
    <row r="859" spans="1:41" x14ac:dyDescent="0.2">
      <c r="A859" s="3" t="s">
        <v>296</v>
      </c>
      <c r="B859" s="3" t="s">
        <v>296</v>
      </c>
      <c r="C859" s="52">
        <v>33099</v>
      </c>
      <c r="D859" s="105">
        <v>58.25</v>
      </c>
      <c r="E859" s="105">
        <v>11.45</v>
      </c>
      <c r="F859" s="20">
        <v>8195</v>
      </c>
      <c r="G859" s="18">
        <v>0</v>
      </c>
      <c r="H859" s="53">
        <v>10</v>
      </c>
      <c r="I859" s="167">
        <f t="shared" si="1434"/>
        <v>-0.60299999999999998</v>
      </c>
      <c r="J859" s="104">
        <f t="shared" si="1434"/>
        <v>1.339</v>
      </c>
      <c r="K859" s="104">
        <f t="shared" si="1434"/>
        <v>8.3000000000000004E-2</v>
      </c>
      <c r="L859" s="105">
        <f t="shared" si="1435"/>
        <v>0.21829999999999999</v>
      </c>
      <c r="M859" s="105" t="s">
        <v>282</v>
      </c>
      <c r="N859" s="105" t="s">
        <v>282</v>
      </c>
      <c r="O859" s="20">
        <f t="shared" ref="O859:P859" si="1460">ROUND(0.06*O727+0.94*O883,0)</f>
        <v>180</v>
      </c>
      <c r="P859" s="20">
        <f t="shared" si="1460"/>
        <v>60</v>
      </c>
      <c r="Q859" s="104">
        <f t="shared" si="1436"/>
        <v>1E-3</v>
      </c>
      <c r="R859" s="20">
        <f t="shared" ref="R859:S859" si="1461">ROUND(0.06*R727+0.94*R883,0)</f>
        <v>3</v>
      </c>
      <c r="S859" s="20">
        <f t="shared" si="1461"/>
        <v>1500</v>
      </c>
      <c r="T859" s="104">
        <f t="shared" si="1437"/>
        <v>0.1</v>
      </c>
      <c r="U859" s="123" t="s">
        <v>282</v>
      </c>
      <c r="V859" s="21"/>
      <c r="W859" s="58">
        <f t="shared" si="1429"/>
        <v>33099</v>
      </c>
      <c r="X859" s="102">
        <f t="shared" si="1438"/>
        <v>58.25</v>
      </c>
      <c r="Y859" s="102">
        <f t="shared" si="1439"/>
        <v>11.45</v>
      </c>
      <c r="Z859" s="21">
        <f t="shared" si="1440"/>
        <v>8195</v>
      </c>
      <c r="AA859" s="44">
        <f t="shared" si="1441"/>
        <v>0</v>
      </c>
      <c r="AB859" s="21">
        <f t="shared" si="1442"/>
        <v>10</v>
      </c>
      <c r="AC859" s="119">
        <f>ROUND(I859+mwreg!$G$91/100,3)</f>
        <v>-0.64700000000000002</v>
      </c>
      <c r="AD859" s="108">
        <f>ROUND(J859+mwreg!$G$91/100,3)</f>
        <v>1.2949999999999999</v>
      </c>
      <c r="AE859" s="108">
        <f>ROUND(K859+mwreg!$G$91/100,3)</f>
        <v>3.9E-2</v>
      </c>
      <c r="AF859" s="102">
        <f t="shared" si="1427"/>
        <v>0.21829999999999999</v>
      </c>
      <c r="AG859" s="109" t="str">
        <f t="shared" si="1443"/>
        <v>NaN</v>
      </c>
      <c r="AH859" s="109" t="str">
        <f t="shared" si="1216"/>
        <v>NaN</v>
      </c>
      <c r="AI859" s="110">
        <f t="shared" si="1217"/>
        <v>180</v>
      </c>
      <c r="AJ859" s="110">
        <f t="shared" si="1218"/>
        <v>60</v>
      </c>
      <c r="AK859" s="108">
        <f t="shared" si="1219"/>
        <v>1E-3</v>
      </c>
      <c r="AL859" s="110">
        <f t="shared" si="1220"/>
        <v>3</v>
      </c>
      <c r="AM859" s="110">
        <f t="shared" si="1221"/>
        <v>1500</v>
      </c>
      <c r="AN859" s="108">
        <f t="shared" si="1222"/>
        <v>0.1</v>
      </c>
      <c r="AO859" s="197" t="str">
        <f t="shared" si="1223"/>
        <v>NaN</v>
      </c>
    </row>
    <row r="860" spans="1:41" x14ac:dyDescent="0.2">
      <c r="A860" s="3" t="s">
        <v>296</v>
      </c>
      <c r="B860" s="3" t="s">
        <v>296</v>
      </c>
      <c r="C860" s="52">
        <v>33099</v>
      </c>
      <c r="D860" s="105">
        <v>58.25</v>
      </c>
      <c r="E860" s="105">
        <v>11.45</v>
      </c>
      <c r="F860" s="20">
        <v>8195</v>
      </c>
      <c r="G860" s="18">
        <v>0</v>
      </c>
      <c r="H860" s="53">
        <v>11</v>
      </c>
      <c r="I860" s="167">
        <f t="shared" si="1434"/>
        <v>-0.78</v>
      </c>
      <c r="J860" s="104">
        <f t="shared" si="1434"/>
        <v>1.496</v>
      </c>
      <c r="K860" s="104">
        <f t="shared" si="1434"/>
        <v>9.8000000000000004E-2</v>
      </c>
      <c r="L860" s="105">
        <f t="shared" si="1435"/>
        <v>0.2392</v>
      </c>
      <c r="M860" s="105" t="s">
        <v>282</v>
      </c>
      <c r="N860" s="105" t="s">
        <v>282</v>
      </c>
      <c r="O860" s="20">
        <f t="shared" ref="O860:P860" si="1462">ROUND(0.06*O728+0.94*O884,0)</f>
        <v>180</v>
      </c>
      <c r="P860" s="20">
        <f t="shared" si="1462"/>
        <v>60</v>
      </c>
      <c r="Q860" s="104">
        <f t="shared" si="1436"/>
        <v>1E-3</v>
      </c>
      <c r="R860" s="20">
        <f t="shared" ref="R860:S860" si="1463">ROUND(0.06*R728+0.94*R884,0)</f>
        <v>3</v>
      </c>
      <c r="S860" s="20">
        <f t="shared" si="1463"/>
        <v>1500</v>
      </c>
      <c r="T860" s="104">
        <f t="shared" si="1437"/>
        <v>0.1</v>
      </c>
      <c r="U860" s="123" t="s">
        <v>282</v>
      </c>
      <c r="V860" s="21"/>
      <c r="W860" s="58">
        <f t="shared" si="1429"/>
        <v>33099</v>
      </c>
      <c r="X860" s="102">
        <f t="shared" si="1438"/>
        <v>58.25</v>
      </c>
      <c r="Y860" s="102">
        <f t="shared" si="1439"/>
        <v>11.45</v>
      </c>
      <c r="Z860" s="21">
        <f t="shared" si="1440"/>
        <v>8195</v>
      </c>
      <c r="AA860" s="44">
        <f t="shared" si="1441"/>
        <v>0</v>
      </c>
      <c r="AB860" s="21">
        <f t="shared" si="1442"/>
        <v>11</v>
      </c>
      <c r="AC860" s="119">
        <f>ROUND(I860+mwreg!$G$91/100,3)</f>
        <v>-0.82399999999999995</v>
      </c>
      <c r="AD860" s="108">
        <f>ROUND(J860+mwreg!$G$91/100,3)</f>
        <v>1.452</v>
      </c>
      <c r="AE860" s="108">
        <f>ROUND(K860+mwreg!$G$91/100,3)</f>
        <v>5.3999999999999999E-2</v>
      </c>
      <c r="AF860" s="102">
        <f t="shared" si="1427"/>
        <v>0.2392</v>
      </c>
      <c r="AG860" s="109" t="str">
        <f t="shared" si="1443"/>
        <v>NaN</v>
      </c>
      <c r="AH860" s="109" t="str">
        <f t="shared" si="1216"/>
        <v>NaN</v>
      </c>
      <c r="AI860" s="110">
        <f t="shared" si="1217"/>
        <v>180</v>
      </c>
      <c r="AJ860" s="110">
        <f t="shared" si="1218"/>
        <v>60</v>
      </c>
      <c r="AK860" s="108">
        <f t="shared" si="1219"/>
        <v>1E-3</v>
      </c>
      <c r="AL860" s="110">
        <f t="shared" si="1220"/>
        <v>3</v>
      </c>
      <c r="AM860" s="110">
        <f t="shared" si="1221"/>
        <v>1500</v>
      </c>
      <c r="AN860" s="108">
        <f t="shared" si="1222"/>
        <v>0.1</v>
      </c>
      <c r="AO860" s="197" t="str">
        <f t="shared" si="1223"/>
        <v>NaN</v>
      </c>
    </row>
    <row r="861" spans="1:41" x14ac:dyDescent="0.2">
      <c r="A861" s="3" t="s">
        <v>296</v>
      </c>
      <c r="B861" s="3" t="s">
        <v>296</v>
      </c>
      <c r="C861" s="52">
        <v>33099</v>
      </c>
      <c r="D861" s="105">
        <v>58.25</v>
      </c>
      <c r="E861" s="105">
        <v>11.45</v>
      </c>
      <c r="F861" s="20">
        <v>8195</v>
      </c>
      <c r="G861" s="18">
        <v>0</v>
      </c>
      <c r="H861" s="53">
        <v>12</v>
      </c>
      <c r="I861" s="167">
        <f t="shared" si="1434"/>
        <v>-0.83499999999999996</v>
      </c>
      <c r="J861" s="104">
        <f t="shared" si="1434"/>
        <v>1.3720000000000001</v>
      </c>
      <c r="K861" s="104">
        <f t="shared" si="1434"/>
        <v>0.123</v>
      </c>
      <c r="L861" s="105">
        <f t="shared" si="1435"/>
        <v>0.2631</v>
      </c>
      <c r="M861" s="105" t="s">
        <v>282</v>
      </c>
      <c r="N861" s="105" t="s">
        <v>282</v>
      </c>
      <c r="O861" s="20">
        <f t="shared" ref="O861:P861" si="1464">ROUND(0.06*O729+0.94*O885,0)</f>
        <v>180</v>
      </c>
      <c r="P861" s="20">
        <f t="shared" si="1464"/>
        <v>60</v>
      </c>
      <c r="Q861" s="104">
        <f t="shared" si="1436"/>
        <v>1E-3</v>
      </c>
      <c r="R861" s="20">
        <f t="shared" ref="R861:S861" si="1465">ROUND(0.06*R729+0.94*R885,0)</f>
        <v>3</v>
      </c>
      <c r="S861" s="20">
        <f t="shared" si="1465"/>
        <v>1500</v>
      </c>
      <c r="T861" s="104">
        <f t="shared" si="1437"/>
        <v>0.1</v>
      </c>
      <c r="U861" s="123" t="s">
        <v>282</v>
      </c>
      <c r="V861" s="21"/>
      <c r="W861" s="58">
        <f t="shared" si="1429"/>
        <v>33099</v>
      </c>
      <c r="X861" s="102">
        <f t="shared" si="1438"/>
        <v>58.25</v>
      </c>
      <c r="Y861" s="102">
        <f t="shared" si="1439"/>
        <v>11.45</v>
      </c>
      <c r="Z861" s="21">
        <f t="shared" si="1440"/>
        <v>8195</v>
      </c>
      <c r="AA861" s="44">
        <f t="shared" si="1441"/>
        <v>0</v>
      </c>
      <c r="AB861" s="21">
        <f t="shared" si="1442"/>
        <v>12</v>
      </c>
      <c r="AC861" s="119">
        <f>ROUND(I861+mwreg!$G$91/100,3)</f>
        <v>-0.879</v>
      </c>
      <c r="AD861" s="108">
        <f>ROUND(J861+mwreg!$G$91/100,3)</f>
        <v>1.3280000000000001</v>
      </c>
      <c r="AE861" s="108">
        <f>ROUND(K861+mwreg!$G$91/100,3)</f>
        <v>7.9000000000000001E-2</v>
      </c>
      <c r="AF861" s="102">
        <f t="shared" si="1427"/>
        <v>0.2631</v>
      </c>
      <c r="AG861" s="109" t="str">
        <f t="shared" si="1443"/>
        <v>NaN</v>
      </c>
      <c r="AH861" s="109" t="str">
        <f t="shared" si="1216"/>
        <v>NaN</v>
      </c>
      <c r="AI861" s="110">
        <f t="shared" si="1217"/>
        <v>180</v>
      </c>
      <c r="AJ861" s="110">
        <f t="shared" si="1218"/>
        <v>60</v>
      </c>
      <c r="AK861" s="108">
        <f t="shared" si="1219"/>
        <v>1E-3</v>
      </c>
      <c r="AL861" s="110">
        <f t="shared" si="1220"/>
        <v>3</v>
      </c>
      <c r="AM861" s="110">
        <f t="shared" si="1221"/>
        <v>1500</v>
      </c>
      <c r="AN861" s="108">
        <f t="shared" si="1222"/>
        <v>0.1</v>
      </c>
      <c r="AO861" s="197" t="str">
        <f t="shared" si="1223"/>
        <v>NaN</v>
      </c>
    </row>
    <row r="862" spans="1:41" x14ac:dyDescent="0.2">
      <c r="A862" s="3" t="str">
        <f>stat_uppg!A82</f>
        <v>32/35109</v>
      </c>
      <c r="B862" s="3" t="str">
        <f>stat_uppg!B82</f>
        <v>BROFJORDEN (SJÖV)</v>
      </c>
      <c r="C862" s="52">
        <v>35109</v>
      </c>
      <c r="D862" s="105">
        <v>58.335999999999999</v>
      </c>
      <c r="E862" s="105">
        <v>11.4046</v>
      </c>
      <c r="F862" s="20">
        <v>8195</v>
      </c>
      <c r="G862" s="18">
        <v>0</v>
      </c>
      <c r="H862" s="53">
        <v>1</v>
      </c>
      <c r="I862" s="167">
        <f t="shared" ref="I862:K873" si="1466">ROUND(I874,3)</f>
        <v>-1.143</v>
      </c>
      <c r="J862" s="104">
        <f t="shared" si="1466"/>
        <v>1.272</v>
      </c>
      <c r="K862" s="104">
        <f t="shared" si="1466"/>
        <v>8.2000000000000003E-2</v>
      </c>
      <c r="L862" s="105">
        <f>ROUND(L874,4)</f>
        <v>0.27500000000000002</v>
      </c>
      <c r="M862" s="105">
        <f t="shared" ref="M862:N862" si="1467">ROUND(M874,4)</f>
        <v>0.31109999999999999</v>
      </c>
      <c r="N862" s="105">
        <f t="shared" si="1467"/>
        <v>0.32400000000000001</v>
      </c>
      <c r="O862" s="20">
        <f>ROUND(O874,0)</f>
        <v>180</v>
      </c>
      <c r="P862" s="20">
        <f>ROUND(P874,0)</f>
        <v>60</v>
      </c>
      <c r="Q862" s="104">
        <f>ROUND(Q874,3)</f>
        <v>1E-3</v>
      </c>
      <c r="R862" s="20">
        <f>ROUND(R874,0)</f>
        <v>3</v>
      </c>
      <c r="S862" s="20">
        <f>ROUND(S874,0)</f>
        <v>1500</v>
      </c>
      <c r="T862" s="104">
        <f>ROUND(T874,3)</f>
        <v>0.1</v>
      </c>
      <c r="U862" s="123" t="s">
        <v>282</v>
      </c>
      <c r="V862" s="21"/>
      <c r="W862" s="58">
        <f t="shared" si="1429"/>
        <v>35109</v>
      </c>
      <c r="X862" s="102">
        <f t="shared" si="1430"/>
        <v>58.335999999999999</v>
      </c>
      <c r="Y862" s="102">
        <f t="shared" si="1431"/>
        <v>11.4046</v>
      </c>
      <c r="Z862" s="21">
        <f t="shared" si="1432"/>
        <v>8195</v>
      </c>
      <c r="AA862" s="44">
        <f t="shared" si="1433"/>
        <v>0</v>
      </c>
      <c r="AB862" s="21">
        <f t="shared" si="1428"/>
        <v>1</v>
      </c>
      <c r="AC862" s="119">
        <f>ROUND(I862+mwreg!$G$92/100,3)</f>
        <v>-1.1890000000000001</v>
      </c>
      <c r="AD862" s="108">
        <f>ROUND(J862+mwreg!$G$92/100,3)</f>
        <v>1.226</v>
      </c>
      <c r="AE862" s="108">
        <f>ROUND(K862+mwreg!$G$92/100,3)</f>
        <v>3.5999999999999997E-2</v>
      </c>
      <c r="AF862" s="102">
        <f t="shared" si="1427"/>
        <v>0.27500000000000002</v>
      </c>
      <c r="AG862" s="109">
        <f t="shared" si="1426"/>
        <v>0.31109999999999999</v>
      </c>
      <c r="AH862" s="109">
        <f t="shared" si="1216"/>
        <v>0.32400000000000001</v>
      </c>
      <c r="AI862" s="110">
        <f t="shared" si="1217"/>
        <v>180</v>
      </c>
      <c r="AJ862" s="110">
        <f t="shared" si="1218"/>
        <v>60</v>
      </c>
      <c r="AK862" s="108">
        <f t="shared" si="1219"/>
        <v>1E-3</v>
      </c>
      <c r="AL862" s="110">
        <f t="shared" si="1220"/>
        <v>3</v>
      </c>
      <c r="AM862" s="110">
        <f t="shared" si="1221"/>
        <v>1500</v>
      </c>
      <c r="AN862" s="108">
        <f t="shared" si="1222"/>
        <v>0.1</v>
      </c>
      <c r="AO862" s="186" t="str">
        <f t="shared" si="1223"/>
        <v>NaN</v>
      </c>
    </row>
    <row r="863" spans="1:41" x14ac:dyDescent="0.2">
      <c r="A863" s="3" t="s">
        <v>296</v>
      </c>
      <c r="B863" s="3" t="s">
        <v>296</v>
      </c>
      <c r="C863" s="52">
        <v>35109</v>
      </c>
      <c r="D863" s="105">
        <v>58.335999999999999</v>
      </c>
      <c r="E863" s="105">
        <v>11.4046</v>
      </c>
      <c r="F863" s="20">
        <v>8195</v>
      </c>
      <c r="G863" s="18">
        <v>0</v>
      </c>
      <c r="H863" s="53">
        <v>2</v>
      </c>
      <c r="I863" s="167">
        <f t="shared" si="1466"/>
        <v>-0.88600000000000001</v>
      </c>
      <c r="J863" s="104">
        <f t="shared" si="1466"/>
        <v>1.349</v>
      </c>
      <c r="K863" s="104">
        <f t="shared" si="1466"/>
        <v>2.5999999999999999E-2</v>
      </c>
      <c r="L863" s="105">
        <f t="shared" ref="L863:N873" si="1468">ROUND(L875,4)</f>
        <v>0.29730000000000001</v>
      </c>
      <c r="M863" s="105">
        <f t="shared" si="1468"/>
        <v>0.26490000000000002</v>
      </c>
      <c r="N863" s="105">
        <f t="shared" si="1468"/>
        <v>0.27200000000000002</v>
      </c>
      <c r="O863" s="20">
        <f t="shared" ref="O863:P863" si="1469">ROUND(O875,0)</f>
        <v>180</v>
      </c>
      <c r="P863" s="20">
        <f t="shared" si="1469"/>
        <v>60</v>
      </c>
      <c r="Q863" s="104">
        <f t="shared" ref="Q863:Q873" si="1470">ROUND(Q875,3)</f>
        <v>1E-3</v>
      </c>
      <c r="R863" s="20">
        <f t="shared" ref="R863:S863" si="1471">ROUND(R875,0)</f>
        <v>3</v>
      </c>
      <c r="S863" s="20">
        <f t="shared" si="1471"/>
        <v>1500</v>
      </c>
      <c r="T863" s="104">
        <f t="shared" ref="T863:T873" si="1472">ROUND(T875,3)</f>
        <v>0.1</v>
      </c>
      <c r="U863" s="123" t="s">
        <v>282</v>
      </c>
      <c r="V863" s="21"/>
      <c r="W863" s="58">
        <f t="shared" si="1429"/>
        <v>35109</v>
      </c>
      <c r="X863" s="102">
        <f t="shared" si="1430"/>
        <v>58.335999999999999</v>
      </c>
      <c r="Y863" s="102">
        <f t="shared" si="1431"/>
        <v>11.4046</v>
      </c>
      <c r="Z863" s="21">
        <f t="shared" si="1432"/>
        <v>8195</v>
      </c>
      <c r="AA863" s="44">
        <f t="shared" si="1433"/>
        <v>0</v>
      </c>
      <c r="AB863" s="21">
        <f t="shared" si="1428"/>
        <v>2</v>
      </c>
      <c r="AC863" s="119">
        <f>ROUND(I863+mwreg!$G$92/100,3)</f>
        <v>-0.93200000000000005</v>
      </c>
      <c r="AD863" s="108">
        <f>ROUND(J863+mwreg!$G$92/100,3)</f>
        <v>1.3029999999999999</v>
      </c>
      <c r="AE863" s="108">
        <f>ROUND(K863+mwreg!$G$92/100,3)</f>
        <v>-0.02</v>
      </c>
      <c r="AF863" s="102">
        <f t="shared" si="1427"/>
        <v>0.29730000000000001</v>
      </c>
      <c r="AG863" s="109">
        <f t="shared" si="1426"/>
        <v>0.26490000000000002</v>
      </c>
      <c r="AH863" s="109">
        <f t="shared" si="1216"/>
        <v>0.27200000000000002</v>
      </c>
      <c r="AI863" s="110">
        <f t="shared" si="1217"/>
        <v>180</v>
      </c>
      <c r="AJ863" s="110">
        <f t="shared" si="1218"/>
        <v>60</v>
      </c>
      <c r="AK863" s="108">
        <f t="shared" si="1219"/>
        <v>1E-3</v>
      </c>
      <c r="AL863" s="110">
        <f t="shared" si="1220"/>
        <v>3</v>
      </c>
      <c r="AM863" s="110">
        <f t="shared" si="1221"/>
        <v>1500</v>
      </c>
      <c r="AN863" s="108">
        <f t="shared" si="1222"/>
        <v>0.1</v>
      </c>
      <c r="AO863" s="186" t="str">
        <f t="shared" si="1223"/>
        <v>NaN</v>
      </c>
    </row>
    <row r="864" spans="1:41" x14ac:dyDescent="0.2">
      <c r="A864" s="3" t="s">
        <v>296</v>
      </c>
      <c r="B864" s="3" t="s">
        <v>296</v>
      </c>
      <c r="C864" s="52">
        <v>35109</v>
      </c>
      <c r="D864" s="105">
        <v>58.335999999999999</v>
      </c>
      <c r="E864" s="105">
        <v>11.4046</v>
      </c>
      <c r="F864" s="20">
        <v>8195</v>
      </c>
      <c r="G864" s="18">
        <v>0</v>
      </c>
      <c r="H864" s="53">
        <v>3</v>
      </c>
      <c r="I864" s="167">
        <f t="shared" si="1466"/>
        <v>-0.89500000000000002</v>
      </c>
      <c r="J864" s="104">
        <f t="shared" si="1466"/>
        <v>1.2150000000000001</v>
      </c>
      <c r="K864" s="104">
        <f t="shared" si="1466"/>
        <v>-5.1999999999999998E-2</v>
      </c>
      <c r="L864" s="105">
        <f t="shared" si="1468"/>
        <v>0.22789999999999999</v>
      </c>
      <c r="M864" s="105">
        <f t="shared" si="1468"/>
        <v>0.1353</v>
      </c>
      <c r="N864" s="105">
        <f t="shared" si="1468"/>
        <v>0.14099999999999999</v>
      </c>
      <c r="O864" s="20">
        <f t="shared" ref="O864:P864" si="1473">ROUND(O876,0)</f>
        <v>180</v>
      </c>
      <c r="P864" s="20">
        <f t="shared" si="1473"/>
        <v>60</v>
      </c>
      <c r="Q864" s="104">
        <f t="shared" si="1470"/>
        <v>1E-3</v>
      </c>
      <c r="R864" s="20">
        <f t="shared" ref="R864:S864" si="1474">ROUND(R876,0)</f>
        <v>3</v>
      </c>
      <c r="S864" s="20">
        <f t="shared" si="1474"/>
        <v>1500</v>
      </c>
      <c r="T864" s="104">
        <f t="shared" si="1472"/>
        <v>0.1</v>
      </c>
      <c r="U864" s="123" t="s">
        <v>282</v>
      </c>
      <c r="V864" s="21"/>
      <c r="W864" s="58">
        <f t="shared" si="1429"/>
        <v>35109</v>
      </c>
      <c r="X864" s="102">
        <f t="shared" si="1430"/>
        <v>58.335999999999999</v>
      </c>
      <c r="Y864" s="102">
        <f t="shared" si="1431"/>
        <v>11.4046</v>
      </c>
      <c r="Z864" s="21">
        <f t="shared" si="1432"/>
        <v>8195</v>
      </c>
      <c r="AA864" s="44">
        <f t="shared" si="1433"/>
        <v>0</v>
      </c>
      <c r="AB864" s="21">
        <f t="shared" si="1428"/>
        <v>3</v>
      </c>
      <c r="AC864" s="119">
        <f>ROUND(I864+mwreg!$G$92/100,3)</f>
        <v>-0.94099999999999995</v>
      </c>
      <c r="AD864" s="108">
        <f>ROUND(J864+mwreg!$G$92/100,3)</f>
        <v>1.169</v>
      </c>
      <c r="AE864" s="108">
        <f>ROUND(K864+mwreg!$G$92/100,3)</f>
        <v>-9.8000000000000004E-2</v>
      </c>
      <c r="AF864" s="102">
        <f t="shared" si="1427"/>
        <v>0.22789999999999999</v>
      </c>
      <c r="AG864" s="109">
        <f t="shared" si="1426"/>
        <v>0.1353</v>
      </c>
      <c r="AH864" s="109">
        <f t="shared" si="1216"/>
        <v>0.14099999999999999</v>
      </c>
      <c r="AI864" s="110">
        <f t="shared" si="1217"/>
        <v>180</v>
      </c>
      <c r="AJ864" s="110">
        <f t="shared" si="1218"/>
        <v>60</v>
      </c>
      <c r="AK864" s="108">
        <f t="shared" si="1219"/>
        <v>1E-3</v>
      </c>
      <c r="AL864" s="110">
        <f t="shared" si="1220"/>
        <v>3</v>
      </c>
      <c r="AM864" s="110">
        <f t="shared" si="1221"/>
        <v>1500</v>
      </c>
      <c r="AN864" s="108">
        <f t="shared" si="1222"/>
        <v>0.1</v>
      </c>
      <c r="AO864" s="186" t="str">
        <f t="shared" si="1223"/>
        <v>NaN</v>
      </c>
    </row>
    <row r="865" spans="1:41" x14ac:dyDescent="0.2">
      <c r="A865" s="3" t="s">
        <v>296</v>
      </c>
      <c r="B865" s="3" t="s">
        <v>296</v>
      </c>
      <c r="C865" s="52">
        <v>35109</v>
      </c>
      <c r="D865" s="105">
        <v>58.335999999999999</v>
      </c>
      <c r="E865" s="105">
        <v>11.4046</v>
      </c>
      <c r="F865" s="20">
        <v>8195</v>
      </c>
      <c r="G865" s="18">
        <v>0</v>
      </c>
      <c r="H865" s="53">
        <v>4</v>
      </c>
      <c r="I865" s="167">
        <f t="shared" si="1466"/>
        <v>-0.76700000000000002</v>
      </c>
      <c r="J865" s="104">
        <f t="shared" si="1466"/>
        <v>0.84799999999999998</v>
      </c>
      <c r="K865" s="104">
        <f t="shared" si="1466"/>
        <v>-0.1</v>
      </c>
      <c r="L865" s="105">
        <f t="shared" si="1468"/>
        <v>0.17180000000000001</v>
      </c>
      <c r="M865" s="105">
        <f t="shared" si="1468"/>
        <v>9.2600000000000002E-2</v>
      </c>
      <c r="N865" s="105">
        <f t="shared" si="1468"/>
        <v>9.7000000000000003E-2</v>
      </c>
      <c r="O865" s="20">
        <f t="shared" ref="O865:P865" si="1475">ROUND(O877,0)</f>
        <v>180</v>
      </c>
      <c r="P865" s="20">
        <f t="shared" si="1475"/>
        <v>60</v>
      </c>
      <c r="Q865" s="104">
        <f t="shared" si="1470"/>
        <v>1E-3</v>
      </c>
      <c r="R865" s="20">
        <f t="shared" ref="R865:S865" si="1476">ROUND(R877,0)</f>
        <v>3</v>
      </c>
      <c r="S865" s="20">
        <f t="shared" si="1476"/>
        <v>1500</v>
      </c>
      <c r="T865" s="104">
        <f t="shared" si="1472"/>
        <v>0.1</v>
      </c>
      <c r="U865" s="123" t="s">
        <v>282</v>
      </c>
      <c r="V865" s="21"/>
      <c r="W865" s="58">
        <f t="shared" si="1429"/>
        <v>35109</v>
      </c>
      <c r="X865" s="102">
        <f t="shared" si="1430"/>
        <v>58.335999999999999</v>
      </c>
      <c r="Y865" s="102">
        <f t="shared" si="1431"/>
        <v>11.4046</v>
      </c>
      <c r="Z865" s="21">
        <f t="shared" si="1432"/>
        <v>8195</v>
      </c>
      <c r="AA865" s="44">
        <f t="shared" si="1433"/>
        <v>0</v>
      </c>
      <c r="AB865" s="21">
        <f t="shared" si="1428"/>
        <v>4</v>
      </c>
      <c r="AC865" s="119">
        <f>ROUND(I865+mwreg!$G$92/100,3)</f>
        <v>-0.81299999999999994</v>
      </c>
      <c r="AD865" s="108">
        <f>ROUND(J865+mwreg!$G$92/100,3)</f>
        <v>0.80200000000000005</v>
      </c>
      <c r="AE865" s="108">
        <f>ROUND(K865+mwreg!$G$92/100,3)</f>
        <v>-0.14599999999999999</v>
      </c>
      <c r="AF865" s="102">
        <f t="shared" si="1427"/>
        <v>0.17180000000000001</v>
      </c>
      <c r="AG865" s="109">
        <f t="shared" si="1426"/>
        <v>9.2600000000000002E-2</v>
      </c>
      <c r="AH865" s="109">
        <f t="shared" si="1216"/>
        <v>9.7000000000000003E-2</v>
      </c>
      <c r="AI865" s="110">
        <f t="shared" si="1217"/>
        <v>180</v>
      </c>
      <c r="AJ865" s="110">
        <f t="shared" si="1218"/>
        <v>60</v>
      </c>
      <c r="AK865" s="108">
        <f t="shared" si="1219"/>
        <v>1E-3</v>
      </c>
      <c r="AL865" s="110">
        <f t="shared" si="1220"/>
        <v>3</v>
      </c>
      <c r="AM865" s="110">
        <f t="shared" si="1221"/>
        <v>1500</v>
      </c>
      <c r="AN865" s="108">
        <f t="shared" si="1222"/>
        <v>0.1</v>
      </c>
      <c r="AO865" s="186" t="str">
        <f t="shared" si="1223"/>
        <v>NaN</v>
      </c>
    </row>
    <row r="866" spans="1:41" x14ac:dyDescent="0.2">
      <c r="A866" s="3" t="s">
        <v>296</v>
      </c>
      <c r="B866" s="3" t="s">
        <v>296</v>
      </c>
      <c r="C866" s="52">
        <v>35109</v>
      </c>
      <c r="D866" s="105">
        <v>58.335999999999999</v>
      </c>
      <c r="E866" s="105">
        <v>11.4046</v>
      </c>
      <c r="F866" s="20">
        <v>8195</v>
      </c>
      <c r="G866" s="18">
        <v>0</v>
      </c>
      <c r="H866" s="53">
        <v>5</v>
      </c>
      <c r="I866" s="167">
        <f t="shared" si="1466"/>
        <v>-0.71499999999999997</v>
      </c>
      <c r="J866" s="104">
        <f t="shared" si="1466"/>
        <v>0.57699999999999996</v>
      </c>
      <c r="K866" s="104">
        <f t="shared" si="1466"/>
        <v>-6.6000000000000003E-2</v>
      </c>
      <c r="L866" s="105">
        <f t="shared" si="1468"/>
        <v>0.15659999999999999</v>
      </c>
      <c r="M866" s="105">
        <f t="shared" si="1468"/>
        <v>9.5100000000000004E-2</v>
      </c>
      <c r="N866" s="105">
        <f t="shared" si="1468"/>
        <v>9.9000000000000005E-2</v>
      </c>
      <c r="O866" s="20">
        <f t="shared" ref="O866:P866" si="1477">ROUND(O878,0)</f>
        <v>180</v>
      </c>
      <c r="P866" s="20">
        <f t="shared" si="1477"/>
        <v>60</v>
      </c>
      <c r="Q866" s="104">
        <f t="shared" si="1470"/>
        <v>1E-3</v>
      </c>
      <c r="R866" s="20">
        <f t="shared" ref="R866:S866" si="1478">ROUND(R878,0)</f>
        <v>3</v>
      </c>
      <c r="S866" s="20">
        <f t="shared" si="1478"/>
        <v>1500</v>
      </c>
      <c r="T866" s="104">
        <f t="shared" si="1472"/>
        <v>0.1</v>
      </c>
      <c r="U866" s="123" t="s">
        <v>282</v>
      </c>
      <c r="V866" s="21"/>
      <c r="W866" s="58">
        <f t="shared" si="1429"/>
        <v>35109</v>
      </c>
      <c r="X866" s="102">
        <f t="shared" si="1430"/>
        <v>58.335999999999999</v>
      </c>
      <c r="Y866" s="102">
        <f t="shared" si="1431"/>
        <v>11.4046</v>
      </c>
      <c r="Z866" s="21">
        <f t="shared" si="1432"/>
        <v>8195</v>
      </c>
      <c r="AA866" s="44">
        <f t="shared" si="1433"/>
        <v>0</v>
      </c>
      <c r="AB866" s="21">
        <f t="shared" si="1428"/>
        <v>5</v>
      </c>
      <c r="AC866" s="119">
        <f>ROUND(I866+mwreg!$G$92/100,3)</f>
        <v>-0.76100000000000001</v>
      </c>
      <c r="AD866" s="108">
        <f>ROUND(J866+mwreg!$G$92/100,3)</f>
        <v>0.53100000000000003</v>
      </c>
      <c r="AE866" s="108">
        <f>ROUND(K866+mwreg!$G$92/100,3)</f>
        <v>-0.112</v>
      </c>
      <c r="AF866" s="102">
        <f t="shared" si="1427"/>
        <v>0.15659999999999999</v>
      </c>
      <c r="AG866" s="109">
        <f t="shared" si="1426"/>
        <v>9.5100000000000004E-2</v>
      </c>
      <c r="AH866" s="109">
        <f t="shared" si="1216"/>
        <v>9.9000000000000005E-2</v>
      </c>
      <c r="AI866" s="110">
        <f t="shared" si="1217"/>
        <v>180</v>
      </c>
      <c r="AJ866" s="110">
        <f t="shared" si="1218"/>
        <v>60</v>
      </c>
      <c r="AK866" s="108">
        <f t="shared" si="1219"/>
        <v>1E-3</v>
      </c>
      <c r="AL866" s="110">
        <f t="shared" si="1220"/>
        <v>3</v>
      </c>
      <c r="AM866" s="110">
        <f t="shared" si="1221"/>
        <v>1500</v>
      </c>
      <c r="AN866" s="108">
        <f t="shared" si="1222"/>
        <v>0.1</v>
      </c>
      <c r="AO866" s="186" t="str">
        <f t="shared" si="1223"/>
        <v>NaN</v>
      </c>
    </row>
    <row r="867" spans="1:41" x14ac:dyDescent="0.2">
      <c r="A867" s="3" t="s">
        <v>296</v>
      </c>
      <c r="B867" s="3" t="s">
        <v>296</v>
      </c>
      <c r="C867" s="52">
        <v>35109</v>
      </c>
      <c r="D867" s="105">
        <v>58.335999999999999</v>
      </c>
      <c r="E867" s="105">
        <v>11.4046</v>
      </c>
      <c r="F867" s="20">
        <v>8195</v>
      </c>
      <c r="G867" s="18">
        <v>0</v>
      </c>
      <c r="H867" s="53">
        <v>6</v>
      </c>
      <c r="I867" s="167">
        <f t="shared" si="1466"/>
        <v>-0.53900000000000003</v>
      </c>
      <c r="J867" s="104">
        <f t="shared" si="1466"/>
        <v>0.63200000000000001</v>
      </c>
      <c r="K867" s="104">
        <f t="shared" si="1466"/>
        <v>-1.9E-2</v>
      </c>
      <c r="L867" s="105">
        <f t="shared" si="1468"/>
        <v>0.14940000000000001</v>
      </c>
      <c r="M867" s="105">
        <f t="shared" si="1468"/>
        <v>9.1999999999999998E-2</v>
      </c>
      <c r="N867" s="105">
        <f t="shared" si="1468"/>
        <v>9.6000000000000002E-2</v>
      </c>
      <c r="O867" s="20">
        <f t="shared" ref="O867:P867" si="1479">ROUND(O879,0)</f>
        <v>180</v>
      </c>
      <c r="P867" s="20">
        <f t="shared" si="1479"/>
        <v>60</v>
      </c>
      <c r="Q867" s="104">
        <f t="shared" si="1470"/>
        <v>1E-3</v>
      </c>
      <c r="R867" s="20">
        <f t="shared" ref="R867:S867" si="1480">ROUND(R879,0)</f>
        <v>3</v>
      </c>
      <c r="S867" s="20">
        <f t="shared" si="1480"/>
        <v>1500</v>
      </c>
      <c r="T867" s="104">
        <f t="shared" si="1472"/>
        <v>0.1</v>
      </c>
      <c r="U867" s="123" t="s">
        <v>282</v>
      </c>
      <c r="V867" s="21"/>
      <c r="W867" s="58">
        <f t="shared" si="1429"/>
        <v>35109</v>
      </c>
      <c r="X867" s="102">
        <f t="shared" si="1430"/>
        <v>58.335999999999999</v>
      </c>
      <c r="Y867" s="102">
        <f t="shared" si="1431"/>
        <v>11.4046</v>
      </c>
      <c r="Z867" s="21">
        <f t="shared" si="1432"/>
        <v>8195</v>
      </c>
      <c r="AA867" s="44">
        <f t="shared" si="1433"/>
        <v>0</v>
      </c>
      <c r="AB867" s="21">
        <f t="shared" si="1428"/>
        <v>6</v>
      </c>
      <c r="AC867" s="119">
        <f>ROUND(I867+mwreg!$G$92/100,3)</f>
        <v>-0.58499999999999996</v>
      </c>
      <c r="AD867" s="108">
        <f>ROUND(J867+mwreg!$G$92/100,3)</f>
        <v>0.58599999999999997</v>
      </c>
      <c r="AE867" s="108">
        <f>ROUND(K867+mwreg!$G$92/100,3)</f>
        <v>-6.5000000000000002E-2</v>
      </c>
      <c r="AF867" s="102">
        <f t="shared" si="1427"/>
        <v>0.14940000000000001</v>
      </c>
      <c r="AG867" s="109">
        <f t="shared" si="1426"/>
        <v>9.1999999999999998E-2</v>
      </c>
      <c r="AH867" s="109">
        <f t="shared" si="1216"/>
        <v>9.6000000000000002E-2</v>
      </c>
      <c r="AI867" s="110">
        <f t="shared" si="1217"/>
        <v>180</v>
      </c>
      <c r="AJ867" s="110">
        <f t="shared" si="1218"/>
        <v>60</v>
      </c>
      <c r="AK867" s="108">
        <f t="shared" si="1219"/>
        <v>1E-3</v>
      </c>
      <c r="AL867" s="110">
        <f t="shared" si="1220"/>
        <v>3</v>
      </c>
      <c r="AM867" s="110">
        <f t="shared" si="1221"/>
        <v>1500</v>
      </c>
      <c r="AN867" s="108">
        <f t="shared" si="1222"/>
        <v>0.1</v>
      </c>
      <c r="AO867" s="186" t="str">
        <f t="shared" si="1223"/>
        <v>NaN</v>
      </c>
    </row>
    <row r="868" spans="1:41" x14ac:dyDescent="0.2">
      <c r="A868" s="3" t="s">
        <v>296</v>
      </c>
      <c r="B868" s="3" t="s">
        <v>296</v>
      </c>
      <c r="C868" s="52">
        <v>35109</v>
      </c>
      <c r="D868" s="105">
        <v>58.335999999999999</v>
      </c>
      <c r="E868" s="105">
        <v>11.4046</v>
      </c>
      <c r="F868" s="20">
        <v>8195</v>
      </c>
      <c r="G868" s="18">
        <v>0</v>
      </c>
      <c r="H868" s="53">
        <v>7</v>
      </c>
      <c r="I868" s="167">
        <f t="shared" si="1466"/>
        <v>-0.47199999999999998</v>
      </c>
      <c r="J868" s="104">
        <f t="shared" si="1466"/>
        <v>0.748</v>
      </c>
      <c r="K868" s="104">
        <f t="shared" si="1466"/>
        <v>0.05</v>
      </c>
      <c r="L868" s="105">
        <f t="shared" si="1468"/>
        <v>0.14829999999999999</v>
      </c>
      <c r="M868" s="105">
        <f t="shared" si="1468"/>
        <v>0.1454</v>
      </c>
      <c r="N868" s="105">
        <f t="shared" si="1468"/>
        <v>0.15</v>
      </c>
      <c r="O868" s="20">
        <f t="shared" ref="O868:P868" si="1481">ROUND(O880,0)</f>
        <v>180</v>
      </c>
      <c r="P868" s="20">
        <f t="shared" si="1481"/>
        <v>60</v>
      </c>
      <c r="Q868" s="104">
        <f t="shared" si="1470"/>
        <v>1E-3</v>
      </c>
      <c r="R868" s="20">
        <f t="shared" ref="R868:S868" si="1482">ROUND(R880,0)</f>
        <v>3</v>
      </c>
      <c r="S868" s="20">
        <f t="shared" si="1482"/>
        <v>1500</v>
      </c>
      <c r="T868" s="104">
        <f t="shared" si="1472"/>
        <v>0.1</v>
      </c>
      <c r="U868" s="123" t="s">
        <v>282</v>
      </c>
      <c r="V868" s="21"/>
      <c r="W868" s="58">
        <f t="shared" si="1429"/>
        <v>35109</v>
      </c>
      <c r="X868" s="102">
        <f t="shared" si="1430"/>
        <v>58.335999999999999</v>
      </c>
      <c r="Y868" s="102">
        <f t="shared" si="1431"/>
        <v>11.4046</v>
      </c>
      <c r="Z868" s="21">
        <f t="shared" si="1432"/>
        <v>8195</v>
      </c>
      <c r="AA868" s="44">
        <f t="shared" si="1433"/>
        <v>0</v>
      </c>
      <c r="AB868" s="21">
        <f t="shared" si="1428"/>
        <v>7</v>
      </c>
      <c r="AC868" s="119">
        <f>ROUND(I868+mwreg!$G$92/100,3)</f>
        <v>-0.51800000000000002</v>
      </c>
      <c r="AD868" s="108">
        <f>ROUND(J868+mwreg!$G$92/100,3)</f>
        <v>0.70199999999999996</v>
      </c>
      <c r="AE868" s="108">
        <f>ROUND(K868+mwreg!$G$92/100,3)</f>
        <v>4.0000000000000001E-3</v>
      </c>
      <c r="AF868" s="102">
        <f t="shared" si="1427"/>
        <v>0.14829999999999999</v>
      </c>
      <c r="AG868" s="109">
        <f t="shared" si="1426"/>
        <v>0.1454</v>
      </c>
      <c r="AH868" s="109">
        <f t="shared" si="1216"/>
        <v>0.15</v>
      </c>
      <c r="AI868" s="110">
        <f t="shared" si="1217"/>
        <v>180</v>
      </c>
      <c r="AJ868" s="110">
        <f t="shared" si="1218"/>
        <v>60</v>
      </c>
      <c r="AK868" s="108">
        <f t="shared" si="1219"/>
        <v>1E-3</v>
      </c>
      <c r="AL868" s="110">
        <f t="shared" si="1220"/>
        <v>3</v>
      </c>
      <c r="AM868" s="110">
        <f t="shared" si="1221"/>
        <v>1500</v>
      </c>
      <c r="AN868" s="108">
        <f t="shared" si="1222"/>
        <v>0.1</v>
      </c>
      <c r="AO868" s="186" t="str">
        <f t="shared" si="1223"/>
        <v>NaN</v>
      </c>
    </row>
    <row r="869" spans="1:41" x14ac:dyDescent="0.2">
      <c r="A869" s="3" t="s">
        <v>296</v>
      </c>
      <c r="B869" s="3" t="s">
        <v>296</v>
      </c>
      <c r="C869" s="52">
        <v>35109</v>
      </c>
      <c r="D869" s="105">
        <v>58.335999999999999</v>
      </c>
      <c r="E869" s="105">
        <v>11.4046</v>
      </c>
      <c r="F869" s="20">
        <v>8195</v>
      </c>
      <c r="G869" s="18">
        <v>0</v>
      </c>
      <c r="H869" s="53">
        <v>8</v>
      </c>
      <c r="I869" s="167">
        <f t="shared" si="1466"/>
        <v>-0.46500000000000002</v>
      </c>
      <c r="J869" s="104">
        <f t="shared" si="1466"/>
        <v>0.88900000000000001</v>
      </c>
      <c r="K869" s="104">
        <f t="shared" si="1466"/>
        <v>6.5000000000000002E-2</v>
      </c>
      <c r="L869" s="105">
        <f t="shared" si="1468"/>
        <v>0.15140000000000001</v>
      </c>
      <c r="M869" s="105">
        <f t="shared" si="1468"/>
        <v>0.12590000000000001</v>
      </c>
      <c r="N869" s="105">
        <f t="shared" si="1468"/>
        <v>0.13100000000000001</v>
      </c>
      <c r="O869" s="20">
        <f t="shared" ref="O869:P869" si="1483">ROUND(O881,0)</f>
        <v>180</v>
      </c>
      <c r="P869" s="20">
        <f t="shared" si="1483"/>
        <v>60</v>
      </c>
      <c r="Q869" s="104">
        <f t="shared" si="1470"/>
        <v>1E-3</v>
      </c>
      <c r="R869" s="20">
        <f t="shared" ref="R869:S869" si="1484">ROUND(R881,0)</f>
        <v>3</v>
      </c>
      <c r="S869" s="20">
        <f t="shared" si="1484"/>
        <v>1500</v>
      </c>
      <c r="T869" s="104">
        <f t="shared" si="1472"/>
        <v>0.1</v>
      </c>
      <c r="U869" s="123" t="s">
        <v>282</v>
      </c>
      <c r="V869" s="21"/>
      <c r="W869" s="58">
        <f t="shared" si="1429"/>
        <v>35109</v>
      </c>
      <c r="X869" s="102">
        <f t="shared" si="1430"/>
        <v>58.335999999999999</v>
      </c>
      <c r="Y869" s="102">
        <f t="shared" si="1431"/>
        <v>11.4046</v>
      </c>
      <c r="Z869" s="21">
        <f t="shared" si="1432"/>
        <v>8195</v>
      </c>
      <c r="AA869" s="44">
        <f t="shared" si="1433"/>
        <v>0</v>
      </c>
      <c r="AB869" s="21">
        <f t="shared" si="1428"/>
        <v>8</v>
      </c>
      <c r="AC869" s="119">
        <f>ROUND(I869+mwreg!$G$92/100,3)</f>
        <v>-0.51100000000000001</v>
      </c>
      <c r="AD869" s="108">
        <f>ROUND(J869+mwreg!$G$92/100,3)</f>
        <v>0.84299999999999997</v>
      </c>
      <c r="AE869" s="108">
        <f>ROUND(K869+mwreg!$G$92/100,3)</f>
        <v>1.9E-2</v>
      </c>
      <c r="AF869" s="102">
        <f t="shared" si="1427"/>
        <v>0.15140000000000001</v>
      </c>
      <c r="AG869" s="109">
        <f t="shared" si="1426"/>
        <v>0.12590000000000001</v>
      </c>
      <c r="AH869" s="109">
        <f t="shared" si="1216"/>
        <v>0.13100000000000001</v>
      </c>
      <c r="AI869" s="110">
        <f t="shared" si="1217"/>
        <v>180</v>
      </c>
      <c r="AJ869" s="110">
        <f t="shared" si="1218"/>
        <v>60</v>
      </c>
      <c r="AK869" s="108">
        <f t="shared" si="1219"/>
        <v>1E-3</v>
      </c>
      <c r="AL869" s="110">
        <f t="shared" si="1220"/>
        <v>3</v>
      </c>
      <c r="AM869" s="110">
        <f t="shared" si="1221"/>
        <v>1500</v>
      </c>
      <c r="AN869" s="108">
        <f t="shared" si="1222"/>
        <v>0.1</v>
      </c>
      <c r="AO869" s="186" t="str">
        <f t="shared" si="1223"/>
        <v>NaN</v>
      </c>
    </row>
    <row r="870" spans="1:41" x14ac:dyDescent="0.2">
      <c r="A870" s="3" t="s">
        <v>296</v>
      </c>
      <c r="B870" s="3" t="s">
        <v>296</v>
      </c>
      <c r="C870" s="52">
        <v>35109</v>
      </c>
      <c r="D870" s="105">
        <v>58.335999999999999</v>
      </c>
      <c r="E870" s="105">
        <v>11.4046</v>
      </c>
      <c r="F870" s="20">
        <v>8195</v>
      </c>
      <c r="G870" s="18">
        <v>0</v>
      </c>
      <c r="H870" s="53">
        <v>9</v>
      </c>
      <c r="I870" s="167">
        <f t="shared" si="1466"/>
        <v>-0.59299999999999997</v>
      </c>
      <c r="J870" s="104">
        <f t="shared" si="1466"/>
        <v>1.133</v>
      </c>
      <c r="K870" s="104">
        <f t="shared" si="1466"/>
        <v>8.6999999999999994E-2</v>
      </c>
      <c r="L870" s="105">
        <f t="shared" si="1468"/>
        <v>0.1913</v>
      </c>
      <c r="M870" s="105">
        <f t="shared" si="1468"/>
        <v>0.17269999999999999</v>
      </c>
      <c r="N870" s="105">
        <f t="shared" si="1468"/>
        <v>0.17899999999999999</v>
      </c>
      <c r="O870" s="20">
        <f t="shared" ref="O870:P870" si="1485">ROUND(O882,0)</f>
        <v>180</v>
      </c>
      <c r="P870" s="20">
        <f t="shared" si="1485"/>
        <v>60</v>
      </c>
      <c r="Q870" s="104">
        <f t="shared" si="1470"/>
        <v>1E-3</v>
      </c>
      <c r="R870" s="20">
        <f t="shared" ref="R870:S870" si="1486">ROUND(R882,0)</f>
        <v>3</v>
      </c>
      <c r="S870" s="20">
        <f t="shared" si="1486"/>
        <v>1500</v>
      </c>
      <c r="T870" s="104">
        <f t="shared" si="1472"/>
        <v>0.1</v>
      </c>
      <c r="U870" s="123" t="s">
        <v>282</v>
      </c>
      <c r="V870" s="21"/>
      <c r="W870" s="58">
        <f t="shared" si="1429"/>
        <v>35109</v>
      </c>
      <c r="X870" s="102">
        <f t="shared" si="1430"/>
        <v>58.335999999999999</v>
      </c>
      <c r="Y870" s="102">
        <f t="shared" si="1431"/>
        <v>11.4046</v>
      </c>
      <c r="Z870" s="21">
        <f t="shared" si="1432"/>
        <v>8195</v>
      </c>
      <c r="AA870" s="44">
        <f t="shared" si="1433"/>
        <v>0</v>
      </c>
      <c r="AB870" s="21">
        <f t="shared" si="1428"/>
        <v>9</v>
      </c>
      <c r="AC870" s="119">
        <f>ROUND(I870+mwreg!$G$92/100,3)</f>
        <v>-0.63900000000000001</v>
      </c>
      <c r="AD870" s="108">
        <f>ROUND(J870+mwreg!$G$92/100,3)</f>
        <v>1.087</v>
      </c>
      <c r="AE870" s="108">
        <f>ROUND(K870+mwreg!$G$92/100,3)</f>
        <v>4.1000000000000002E-2</v>
      </c>
      <c r="AF870" s="102">
        <f t="shared" si="1427"/>
        <v>0.1913</v>
      </c>
      <c r="AG870" s="109">
        <f t="shared" ref="AG870:AG897" si="1487">M870</f>
        <v>0.17269999999999999</v>
      </c>
      <c r="AH870" s="109">
        <f t="shared" ref="AH870:AH897" si="1488">N870</f>
        <v>0.17899999999999999</v>
      </c>
      <c r="AI870" s="110">
        <f t="shared" ref="AI870:AI897" si="1489">O870</f>
        <v>180</v>
      </c>
      <c r="AJ870" s="110">
        <f t="shared" ref="AJ870:AJ897" si="1490">P870</f>
        <v>60</v>
      </c>
      <c r="AK870" s="108">
        <f t="shared" ref="AK870:AK897" si="1491">Q870</f>
        <v>1E-3</v>
      </c>
      <c r="AL870" s="110">
        <f t="shared" ref="AL870:AL897" si="1492">R870</f>
        <v>3</v>
      </c>
      <c r="AM870" s="110">
        <f t="shared" ref="AM870:AM897" si="1493">S870</f>
        <v>1500</v>
      </c>
      <c r="AN870" s="108">
        <f t="shared" ref="AN870:AN897" si="1494">T870</f>
        <v>0.1</v>
      </c>
      <c r="AO870" s="186" t="str">
        <f t="shared" si="1223"/>
        <v>NaN</v>
      </c>
    </row>
    <row r="871" spans="1:41" x14ac:dyDescent="0.2">
      <c r="A871" s="3" t="s">
        <v>296</v>
      </c>
      <c r="B871" s="3" t="s">
        <v>296</v>
      </c>
      <c r="C871" s="52">
        <v>35109</v>
      </c>
      <c r="D871" s="105">
        <v>58.335999999999999</v>
      </c>
      <c r="E871" s="105">
        <v>11.4046</v>
      </c>
      <c r="F871" s="20">
        <v>8195</v>
      </c>
      <c r="G871" s="18">
        <v>0</v>
      </c>
      <c r="H871" s="53">
        <v>10</v>
      </c>
      <c r="I871" s="167">
        <f t="shared" si="1466"/>
        <v>-0.60399999999999998</v>
      </c>
      <c r="J871" s="104">
        <f t="shared" si="1466"/>
        <v>1.347</v>
      </c>
      <c r="K871" s="104">
        <f t="shared" si="1466"/>
        <v>8.3000000000000004E-2</v>
      </c>
      <c r="L871" s="105">
        <f t="shared" si="1468"/>
        <v>0.21859999999999999</v>
      </c>
      <c r="M871" s="105">
        <f t="shared" si="1468"/>
        <v>0.13239999999999999</v>
      </c>
      <c r="N871" s="105">
        <f t="shared" si="1468"/>
        <v>0.13900000000000001</v>
      </c>
      <c r="O871" s="20">
        <f t="shared" ref="O871:P871" si="1495">ROUND(O883,0)</f>
        <v>180</v>
      </c>
      <c r="P871" s="20">
        <f t="shared" si="1495"/>
        <v>60</v>
      </c>
      <c r="Q871" s="104">
        <f t="shared" si="1470"/>
        <v>1E-3</v>
      </c>
      <c r="R871" s="20">
        <f t="shared" ref="R871:S871" si="1496">ROUND(R883,0)</f>
        <v>3</v>
      </c>
      <c r="S871" s="20">
        <f t="shared" si="1496"/>
        <v>1500</v>
      </c>
      <c r="T871" s="104">
        <f t="shared" si="1472"/>
        <v>0.1</v>
      </c>
      <c r="U871" s="123" t="s">
        <v>282</v>
      </c>
      <c r="V871" s="21"/>
      <c r="W871" s="58">
        <f t="shared" si="1429"/>
        <v>35109</v>
      </c>
      <c r="X871" s="102">
        <f t="shared" si="1430"/>
        <v>58.335999999999999</v>
      </c>
      <c r="Y871" s="102">
        <f t="shared" si="1431"/>
        <v>11.4046</v>
      </c>
      <c r="Z871" s="21">
        <f t="shared" si="1432"/>
        <v>8195</v>
      </c>
      <c r="AA871" s="44">
        <f t="shared" si="1433"/>
        <v>0</v>
      </c>
      <c r="AB871" s="21">
        <f t="shared" si="1428"/>
        <v>10</v>
      </c>
      <c r="AC871" s="119">
        <f>ROUND(I871+mwreg!$G$92/100,3)</f>
        <v>-0.65</v>
      </c>
      <c r="AD871" s="108">
        <f>ROUND(J871+mwreg!$G$92/100,3)</f>
        <v>1.3009999999999999</v>
      </c>
      <c r="AE871" s="108">
        <f>ROUND(K871+mwreg!$G$92/100,3)</f>
        <v>3.6999999999999998E-2</v>
      </c>
      <c r="AF871" s="102">
        <f t="shared" si="1427"/>
        <v>0.21859999999999999</v>
      </c>
      <c r="AG871" s="109">
        <f t="shared" si="1487"/>
        <v>0.13239999999999999</v>
      </c>
      <c r="AH871" s="109">
        <f t="shared" si="1488"/>
        <v>0.13900000000000001</v>
      </c>
      <c r="AI871" s="110">
        <f t="shared" si="1489"/>
        <v>180</v>
      </c>
      <c r="AJ871" s="110">
        <f t="shared" si="1490"/>
        <v>60</v>
      </c>
      <c r="AK871" s="108">
        <f t="shared" si="1491"/>
        <v>1E-3</v>
      </c>
      <c r="AL871" s="110">
        <f t="shared" si="1492"/>
        <v>3</v>
      </c>
      <c r="AM871" s="110">
        <f t="shared" si="1493"/>
        <v>1500</v>
      </c>
      <c r="AN871" s="108">
        <f t="shared" si="1494"/>
        <v>0.1</v>
      </c>
      <c r="AO871" s="186" t="str">
        <f t="shared" si="1223"/>
        <v>NaN</v>
      </c>
    </row>
    <row r="872" spans="1:41" x14ac:dyDescent="0.2">
      <c r="A872" s="3" t="s">
        <v>296</v>
      </c>
      <c r="B872" s="3" t="s">
        <v>296</v>
      </c>
      <c r="C872" s="52">
        <v>35109</v>
      </c>
      <c r="D872" s="105">
        <v>58.335999999999999</v>
      </c>
      <c r="E872" s="105">
        <v>11.4046</v>
      </c>
      <c r="F872" s="20">
        <v>8195</v>
      </c>
      <c r="G872" s="18">
        <v>0</v>
      </c>
      <c r="H872" s="53">
        <v>11</v>
      </c>
      <c r="I872" s="167">
        <f t="shared" si="1466"/>
        <v>-0.78600000000000003</v>
      </c>
      <c r="J872" s="104">
        <f t="shared" si="1466"/>
        <v>1.496</v>
      </c>
      <c r="K872" s="104">
        <f t="shared" si="1466"/>
        <v>9.7000000000000003E-2</v>
      </c>
      <c r="L872" s="105">
        <f t="shared" si="1468"/>
        <v>0.2399</v>
      </c>
      <c r="M872" s="105">
        <f t="shared" si="1468"/>
        <v>0.18679999999999999</v>
      </c>
      <c r="N872" s="105">
        <f t="shared" si="1468"/>
        <v>0.19500000000000001</v>
      </c>
      <c r="O872" s="20">
        <f t="shared" ref="O872:P872" si="1497">ROUND(O884,0)</f>
        <v>180</v>
      </c>
      <c r="P872" s="20">
        <f t="shared" si="1497"/>
        <v>60</v>
      </c>
      <c r="Q872" s="104">
        <f t="shared" si="1470"/>
        <v>1E-3</v>
      </c>
      <c r="R872" s="20">
        <f t="shared" ref="R872:S872" si="1498">ROUND(R884,0)</f>
        <v>3</v>
      </c>
      <c r="S872" s="20">
        <f t="shared" si="1498"/>
        <v>1500</v>
      </c>
      <c r="T872" s="104">
        <f t="shared" si="1472"/>
        <v>0.1</v>
      </c>
      <c r="U872" s="123" t="s">
        <v>282</v>
      </c>
      <c r="V872" s="21"/>
      <c r="W872" s="58">
        <f t="shared" si="1429"/>
        <v>35109</v>
      </c>
      <c r="X872" s="102">
        <f t="shared" si="1430"/>
        <v>58.335999999999999</v>
      </c>
      <c r="Y872" s="102">
        <f t="shared" si="1431"/>
        <v>11.4046</v>
      </c>
      <c r="Z872" s="21">
        <f t="shared" si="1432"/>
        <v>8195</v>
      </c>
      <c r="AA872" s="44">
        <f t="shared" si="1433"/>
        <v>0</v>
      </c>
      <c r="AB872" s="21">
        <f t="shared" si="1428"/>
        <v>11</v>
      </c>
      <c r="AC872" s="119">
        <f>ROUND(I872+mwreg!$G$92/100,3)</f>
        <v>-0.83199999999999996</v>
      </c>
      <c r="AD872" s="108">
        <f>ROUND(J872+mwreg!$G$92/100,3)</f>
        <v>1.45</v>
      </c>
      <c r="AE872" s="108">
        <f>ROUND(K872+mwreg!$G$92/100,3)</f>
        <v>5.0999999999999997E-2</v>
      </c>
      <c r="AF872" s="102">
        <f t="shared" si="1427"/>
        <v>0.2399</v>
      </c>
      <c r="AG872" s="109">
        <f t="shared" si="1487"/>
        <v>0.18679999999999999</v>
      </c>
      <c r="AH872" s="109">
        <f t="shared" si="1488"/>
        <v>0.19500000000000001</v>
      </c>
      <c r="AI872" s="110">
        <f t="shared" si="1489"/>
        <v>180</v>
      </c>
      <c r="AJ872" s="110">
        <f t="shared" si="1490"/>
        <v>60</v>
      </c>
      <c r="AK872" s="108">
        <f t="shared" si="1491"/>
        <v>1E-3</v>
      </c>
      <c r="AL872" s="110">
        <f t="shared" si="1492"/>
        <v>3</v>
      </c>
      <c r="AM872" s="110">
        <f t="shared" si="1493"/>
        <v>1500</v>
      </c>
      <c r="AN872" s="108">
        <f t="shared" si="1494"/>
        <v>0.1</v>
      </c>
      <c r="AO872" s="186" t="str">
        <f t="shared" si="1223"/>
        <v>NaN</v>
      </c>
    </row>
    <row r="873" spans="1:41" x14ac:dyDescent="0.2">
      <c r="A873" s="3" t="s">
        <v>296</v>
      </c>
      <c r="B873" s="3" t="s">
        <v>296</v>
      </c>
      <c r="C873" s="52">
        <v>35109</v>
      </c>
      <c r="D873" s="105">
        <v>58.335999999999999</v>
      </c>
      <c r="E873" s="105">
        <v>11.4046</v>
      </c>
      <c r="F873" s="20">
        <v>8195</v>
      </c>
      <c r="G873" s="18">
        <v>0</v>
      </c>
      <c r="H873" s="53">
        <v>12</v>
      </c>
      <c r="I873" s="167">
        <f t="shared" si="1466"/>
        <v>-0.83399999999999996</v>
      </c>
      <c r="J873" s="104">
        <f t="shared" si="1466"/>
        <v>1.365</v>
      </c>
      <c r="K873" s="104">
        <f t="shared" si="1466"/>
        <v>0.125</v>
      </c>
      <c r="L873" s="105">
        <f t="shared" si="1468"/>
        <v>0.26279999999999998</v>
      </c>
      <c r="M873" s="105">
        <f t="shared" si="1468"/>
        <v>0.2203</v>
      </c>
      <c r="N873" s="105">
        <f t="shared" si="1468"/>
        <v>0.23300000000000001</v>
      </c>
      <c r="O873" s="20">
        <f t="shared" ref="O873:P873" si="1499">ROUND(O885,0)</f>
        <v>180</v>
      </c>
      <c r="P873" s="20">
        <f t="shared" si="1499"/>
        <v>60</v>
      </c>
      <c r="Q873" s="104">
        <f t="shared" si="1470"/>
        <v>1E-3</v>
      </c>
      <c r="R873" s="20">
        <f t="shared" ref="R873:S873" si="1500">ROUND(R885,0)</f>
        <v>3</v>
      </c>
      <c r="S873" s="20">
        <f t="shared" si="1500"/>
        <v>1500</v>
      </c>
      <c r="T873" s="104">
        <f t="shared" si="1472"/>
        <v>0.1</v>
      </c>
      <c r="U873" s="123" t="s">
        <v>282</v>
      </c>
      <c r="V873" s="21"/>
      <c r="W873" s="58">
        <f t="shared" si="1429"/>
        <v>35109</v>
      </c>
      <c r="X873" s="102">
        <f t="shared" si="1430"/>
        <v>58.335999999999999</v>
      </c>
      <c r="Y873" s="102">
        <f t="shared" si="1431"/>
        <v>11.4046</v>
      </c>
      <c r="Z873" s="21">
        <f t="shared" si="1432"/>
        <v>8195</v>
      </c>
      <c r="AA873" s="44">
        <f t="shared" si="1433"/>
        <v>0</v>
      </c>
      <c r="AB873" s="21">
        <f t="shared" si="1428"/>
        <v>12</v>
      </c>
      <c r="AC873" s="119">
        <f>ROUND(I873+mwreg!$G$92/100,3)</f>
        <v>-0.88</v>
      </c>
      <c r="AD873" s="108">
        <f>ROUND(J873+mwreg!$G$92/100,3)</f>
        <v>1.319</v>
      </c>
      <c r="AE873" s="108">
        <f>ROUND(K873+mwreg!$G$92/100,3)</f>
        <v>7.9000000000000001E-2</v>
      </c>
      <c r="AF873" s="102">
        <f t="shared" si="1427"/>
        <v>0.26279999999999998</v>
      </c>
      <c r="AG873" s="109">
        <f t="shared" si="1487"/>
        <v>0.2203</v>
      </c>
      <c r="AH873" s="109">
        <f t="shared" si="1488"/>
        <v>0.23300000000000001</v>
      </c>
      <c r="AI873" s="110">
        <f t="shared" si="1489"/>
        <v>180</v>
      </c>
      <c r="AJ873" s="110">
        <f t="shared" si="1490"/>
        <v>60</v>
      </c>
      <c r="AK873" s="108">
        <f t="shared" si="1491"/>
        <v>1E-3</v>
      </c>
      <c r="AL873" s="110">
        <f t="shared" si="1492"/>
        <v>3</v>
      </c>
      <c r="AM873" s="110">
        <f t="shared" si="1493"/>
        <v>1500</v>
      </c>
      <c r="AN873" s="108">
        <f t="shared" si="1494"/>
        <v>0.1</v>
      </c>
      <c r="AO873" s="186" t="str">
        <f t="shared" si="1223"/>
        <v>NaN</v>
      </c>
    </row>
    <row r="874" spans="1:41" x14ac:dyDescent="0.2">
      <c r="A874" s="3" t="str">
        <f>stat_uppg!A83</f>
        <v>2111/33072</v>
      </c>
      <c r="B874" s="3" t="str">
        <f>stat_uppg!B83</f>
        <v>SMÖGEN (SMHI)</v>
      </c>
      <c r="C874" s="55">
        <v>2111</v>
      </c>
      <c r="D874" s="79">
        <v>58.3536</v>
      </c>
      <c r="E874" s="79">
        <v>11.2178</v>
      </c>
      <c r="F874" s="14">
        <v>8195</v>
      </c>
      <c r="G874" s="10">
        <v>0</v>
      </c>
      <c r="H874" s="122">
        <v>1</v>
      </c>
      <c r="I874" s="165">
        <v>-1.143</v>
      </c>
      <c r="J874" s="11">
        <v>1.272</v>
      </c>
      <c r="K874" s="11">
        <v>8.2000000000000003E-2</v>
      </c>
      <c r="L874" s="79">
        <v>0.27500000000000002</v>
      </c>
      <c r="M874" s="79">
        <v>0.31109999999999999</v>
      </c>
      <c r="N874" s="79">
        <v>0.32400000000000001</v>
      </c>
      <c r="O874" s="14">
        <v>180</v>
      </c>
      <c r="P874" s="14">
        <v>60</v>
      </c>
      <c r="Q874" s="11">
        <v>1E-3</v>
      </c>
      <c r="R874" s="14">
        <v>3</v>
      </c>
      <c r="S874" s="14">
        <v>1500</v>
      </c>
      <c r="T874" s="11">
        <v>0.1</v>
      </c>
      <c r="U874" s="122">
        <v>244943</v>
      </c>
      <c r="V874" s="35"/>
      <c r="W874" s="99">
        <f t="shared" si="1429"/>
        <v>2111</v>
      </c>
      <c r="X874" s="100">
        <f t="shared" si="1430"/>
        <v>58.3536</v>
      </c>
      <c r="Y874" s="100">
        <f t="shared" si="1431"/>
        <v>11.2178</v>
      </c>
      <c r="Z874" s="22">
        <f t="shared" si="1432"/>
        <v>8195</v>
      </c>
      <c r="AA874" s="35">
        <f t="shared" si="1433"/>
        <v>0</v>
      </c>
      <c r="AB874" s="22">
        <f t="shared" si="1428"/>
        <v>1</v>
      </c>
      <c r="AC874" s="137">
        <f>ROUND(I874+mwreg!$G$93/100,3)</f>
        <v>-1.1890000000000001</v>
      </c>
      <c r="AD874" s="134">
        <f>ROUND(J874+mwreg!$G$93/100,3)</f>
        <v>1.226</v>
      </c>
      <c r="AE874" s="134">
        <f>ROUND(K874+mwreg!$G$93/100,3)</f>
        <v>3.5999999999999997E-2</v>
      </c>
      <c r="AF874" s="132">
        <f>L874</f>
        <v>0.27500000000000002</v>
      </c>
      <c r="AG874" s="164">
        <f t="shared" si="1487"/>
        <v>0.31109999999999999</v>
      </c>
      <c r="AH874" s="164">
        <f t="shared" si="1488"/>
        <v>0.32400000000000001</v>
      </c>
      <c r="AI874" s="135">
        <f t="shared" si="1489"/>
        <v>180</v>
      </c>
      <c r="AJ874" s="135">
        <f t="shared" si="1490"/>
        <v>60</v>
      </c>
      <c r="AK874" s="134">
        <f t="shared" si="1491"/>
        <v>1E-3</v>
      </c>
      <c r="AL874" s="135">
        <f t="shared" si="1492"/>
        <v>3</v>
      </c>
      <c r="AM874" s="135">
        <f t="shared" si="1493"/>
        <v>1500</v>
      </c>
      <c r="AN874" s="134">
        <f t="shared" si="1494"/>
        <v>0.1</v>
      </c>
      <c r="AO874" s="187">
        <f t="shared" si="1223"/>
        <v>244943</v>
      </c>
    </row>
    <row r="875" spans="1:41" x14ac:dyDescent="0.2">
      <c r="A875" s="3" t="s">
        <v>296</v>
      </c>
      <c r="B875" s="3" t="s">
        <v>296</v>
      </c>
      <c r="C875" s="55">
        <v>2111</v>
      </c>
      <c r="D875" s="79">
        <v>58.3536</v>
      </c>
      <c r="E875" s="79">
        <v>11.2178</v>
      </c>
      <c r="F875" s="14">
        <v>8195</v>
      </c>
      <c r="G875" s="10">
        <v>0</v>
      </c>
      <c r="H875" s="122">
        <v>2</v>
      </c>
      <c r="I875" s="165">
        <v>-0.88600000000000001</v>
      </c>
      <c r="J875" s="11">
        <v>1.349</v>
      </c>
      <c r="K875" s="11">
        <v>2.5999999999999999E-2</v>
      </c>
      <c r="L875" s="79">
        <v>0.29730000000000001</v>
      </c>
      <c r="M875" s="79">
        <v>0.26490000000000002</v>
      </c>
      <c r="N875" s="79">
        <v>0.27200000000000002</v>
      </c>
      <c r="O875" s="14">
        <v>180</v>
      </c>
      <c r="P875" s="14">
        <v>60</v>
      </c>
      <c r="Q875" s="11">
        <v>1E-3</v>
      </c>
      <c r="R875" s="14">
        <v>3</v>
      </c>
      <c r="S875" s="14">
        <v>1500</v>
      </c>
      <c r="T875" s="11">
        <v>0.1</v>
      </c>
      <c r="U875" s="122">
        <v>189431</v>
      </c>
      <c r="V875" s="35"/>
      <c r="W875" s="99">
        <f t="shared" si="1429"/>
        <v>2111</v>
      </c>
      <c r="X875" s="100">
        <f t="shared" si="1430"/>
        <v>58.3536</v>
      </c>
      <c r="Y875" s="100">
        <f t="shared" si="1431"/>
        <v>11.2178</v>
      </c>
      <c r="Z875" s="22">
        <f t="shared" si="1432"/>
        <v>8195</v>
      </c>
      <c r="AA875" s="35">
        <f t="shared" si="1433"/>
        <v>0</v>
      </c>
      <c r="AB875" s="22">
        <f t="shared" si="1428"/>
        <v>2</v>
      </c>
      <c r="AC875" s="137">
        <f>ROUND(I875+mwreg!$G$93/100,3)</f>
        <v>-0.93200000000000005</v>
      </c>
      <c r="AD875" s="134">
        <f>ROUND(J875+mwreg!$G$93/100,3)</f>
        <v>1.3029999999999999</v>
      </c>
      <c r="AE875" s="134">
        <f>ROUND(K875+mwreg!$G$93/100,3)</f>
        <v>-0.02</v>
      </c>
      <c r="AF875" s="132">
        <f t="shared" ref="AF875:AF897" si="1501">L875</f>
        <v>0.29730000000000001</v>
      </c>
      <c r="AG875" s="164">
        <f t="shared" si="1487"/>
        <v>0.26490000000000002</v>
      </c>
      <c r="AH875" s="164">
        <f t="shared" si="1488"/>
        <v>0.27200000000000002</v>
      </c>
      <c r="AI875" s="135">
        <f t="shared" si="1489"/>
        <v>180</v>
      </c>
      <c r="AJ875" s="135">
        <f t="shared" si="1490"/>
        <v>60</v>
      </c>
      <c r="AK875" s="134">
        <f t="shared" si="1491"/>
        <v>1E-3</v>
      </c>
      <c r="AL875" s="135">
        <f t="shared" si="1492"/>
        <v>3</v>
      </c>
      <c r="AM875" s="135">
        <f t="shared" si="1493"/>
        <v>1500</v>
      </c>
      <c r="AN875" s="134">
        <f t="shared" si="1494"/>
        <v>0.1</v>
      </c>
      <c r="AO875" s="187">
        <f t="shared" si="1223"/>
        <v>189431</v>
      </c>
    </row>
    <row r="876" spans="1:41" x14ac:dyDescent="0.2">
      <c r="A876" s="3" t="s">
        <v>296</v>
      </c>
      <c r="B876" s="3" t="s">
        <v>296</v>
      </c>
      <c r="C876" s="55">
        <v>2111</v>
      </c>
      <c r="D876" s="79">
        <v>58.3536</v>
      </c>
      <c r="E876" s="79">
        <v>11.2178</v>
      </c>
      <c r="F876" s="14">
        <v>8195</v>
      </c>
      <c r="G876" s="10">
        <v>0</v>
      </c>
      <c r="H876" s="122">
        <v>3</v>
      </c>
      <c r="I876" s="165">
        <v>-0.89500000000000002</v>
      </c>
      <c r="J876" s="11">
        <v>1.2150000000000001</v>
      </c>
      <c r="K876" s="11">
        <v>-5.1999999999999998E-2</v>
      </c>
      <c r="L876" s="79">
        <v>0.22789999999999999</v>
      </c>
      <c r="M876" s="79">
        <v>0.1353</v>
      </c>
      <c r="N876" s="79">
        <v>0.14099999999999999</v>
      </c>
      <c r="O876" s="14">
        <v>180</v>
      </c>
      <c r="P876" s="14">
        <v>60</v>
      </c>
      <c r="Q876" s="11">
        <v>1E-3</v>
      </c>
      <c r="R876" s="14">
        <v>3</v>
      </c>
      <c r="S876" s="14">
        <v>1500</v>
      </c>
      <c r="T876" s="11">
        <v>0.1</v>
      </c>
      <c r="U876" s="122">
        <v>223433</v>
      </c>
      <c r="V876" s="35"/>
      <c r="W876" s="99">
        <f t="shared" si="1429"/>
        <v>2111</v>
      </c>
      <c r="X876" s="100">
        <f t="shared" si="1430"/>
        <v>58.3536</v>
      </c>
      <c r="Y876" s="100">
        <f t="shared" si="1431"/>
        <v>11.2178</v>
      </c>
      <c r="Z876" s="22">
        <f t="shared" si="1432"/>
        <v>8195</v>
      </c>
      <c r="AA876" s="35">
        <f t="shared" si="1433"/>
        <v>0</v>
      </c>
      <c r="AB876" s="22">
        <f t="shared" si="1428"/>
        <v>3</v>
      </c>
      <c r="AC876" s="137">
        <f>ROUND(I876+mwreg!$G$93/100,3)</f>
        <v>-0.94099999999999995</v>
      </c>
      <c r="AD876" s="134">
        <f>ROUND(J876+mwreg!$G$93/100,3)</f>
        <v>1.169</v>
      </c>
      <c r="AE876" s="134">
        <f>ROUND(K876+mwreg!$G$93/100,3)</f>
        <v>-9.8000000000000004E-2</v>
      </c>
      <c r="AF876" s="132">
        <f t="shared" si="1501"/>
        <v>0.22789999999999999</v>
      </c>
      <c r="AG876" s="164">
        <f t="shared" si="1487"/>
        <v>0.1353</v>
      </c>
      <c r="AH876" s="164">
        <f t="shared" si="1488"/>
        <v>0.14099999999999999</v>
      </c>
      <c r="AI876" s="135">
        <f t="shared" si="1489"/>
        <v>180</v>
      </c>
      <c r="AJ876" s="135">
        <f t="shared" si="1490"/>
        <v>60</v>
      </c>
      <c r="AK876" s="134">
        <f t="shared" si="1491"/>
        <v>1E-3</v>
      </c>
      <c r="AL876" s="135">
        <f t="shared" si="1492"/>
        <v>3</v>
      </c>
      <c r="AM876" s="135">
        <f t="shared" si="1493"/>
        <v>1500</v>
      </c>
      <c r="AN876" s="134">
        <f t="shared" si="1494"/>
        <v>0.1</v>
      </c>
      <c r="AO876" s="187">
        <f t="shared" si="1223"/>
        <v>223433</v>
      </c>
    </row>
    <row r="877" spans="1:41" x14ac:dyDescent="0.2">
      <c r="A877" s="3" t="s">
        <v>296</v>
      </c>
      <c r="B877" s="3" t="s">
        <v>296</v>
      </c>
      <c r="C877" s="55">
        <v>2111</v>
      </c>
      <c r="D877" s="79">
        <v>58.3536</v>
      </c>
      <c r="E877" s="79">
        <v>11.2178</v>
      </c>
      <c r="F877" s="14">
        <v>8195</v>
      </c>
      <c r="G877" s="10">
        <v>0</v>
      </c>
      <c r="H877" s="122">
        <v>4</v>
      </c>
      <c r="I877" s="165">
        <v>-0.76700000000000002</v>
      </c>
      <c r="J877" s="11">
        <v>0.84799999999999998</v>
      </c>
      <c r="K877" s="11">
        <v>-0.1</v>
      </c>
      <c r="L877" s="79">
        <v>0.17180000000000001</v>
      </c>
      <c r="M877" s="79">
        <v>9.2600000000000002E-2</v>
      </c>
      <c r="N877" s="79">
        <v>9.7000000000000003E-2</v>
      </c>
      <c r="O877" s="14">
        <v>180</v>
      </c>
      <c r="P877" s="14">
        <v>60</v>
      </c>
      <c r="Q877" s="11">
        <v>1E-3</v>
      </c>
      <c r="R877" s="14">
        <v>3</v>
      </c>
      <c r="S877" s="14">
        <v>1500</v>
      </c>
      <c r="T877" s="11">
        <v>0.1</v>
      </c>
      <c r="U877" s="122">
        <v>236289</v>
      </c>
      <c r="V877" s="35"/>
      <c r="W877" s="99">
        <f t="shared" si="1429"/>
        <v>2111</v>
      </c>
      <c r="X877" s="100">
        <f t="shared" si="1430"/>
        <v>58.3536</v>
      </c>
      <c r="Y877" s="100">
        <f t="shared" si="1431"/>
        <v>11.2178</v>
      </c>
      <c r="Z877" s="22">
        <f t="shared" si="1432"/>
        <v>8195</v>
      </c>
      <c r="AA877" s="35">
        <f t="shared" si="1433"/>
        <v>0</v>
      </c>
      <c r="AB877" s="22">
        <f t="shared" si="1428"/>
        <v>4</v>
      </c>
      <c r="AC877" s="137">
        <f>ROUND(I877+mwreg!$G$93/100,3)</f>
        <v>-0.81299999999999994</v>
      </c>
      <c r="AD877" s="134">
        <f>ROUND(J877+mwreg!$G$93/100,3)</f>
        <v>0.80200000000000005</v>
      </c>
      <c r="AE877" s="134">
        <f>ROUND(K877+mwreg!$G$93/100,3)</f>
        <v>-0.14599999999999999</v>
      </c>
      <c r="AF877" s="132">
        <f t="shared" si="1501"/>
        <v>0.17180000000000001</v>
      </c>
      <c r="AG877" s="164">
        <f t="shared" si="1487"/>
        <v>9.2600000000000002E-2</v>
      </c>
      <c r="AH877" s="164">
        <f t="shared" si="1488"/>
        <v>9.7000000000000003E-2</v>
      </c>
      <c r="AI877" s="135">
        <f t="shared" si="1489"/>
        <v>180</v>
      </c>
      <c r="AJ877" s="135">
        <f t="shared" si="1490"/>
        <v>60</v>
      </c>
      <c r="AK877" s="134">
        <f t="shared" si="1491"/>
        <v>1E-3</v>
      </c>
      <c r="AL877" s="135">
        <f t="shared" si="1492"/>
        <v>3</v>
      </c>
      <c r="AM877" s="135">
        <f t="shared" si="1493"/>
        <v>1500</v>
      </c>
      <c r="AN877" s="134">
        <f t="shared" si="1494"/>
        <v>0.1</v>
      </c>
      <c r="AO877" s="187">
        <f t="shared" si="1223"/>
        <v>236289</v>
      </c>
    </row>
    <row r="878" spans="1:41" x14ac:dyDescent="0.2">
      <c r="A878" s="3" t="s">
        <v>296</v>
      </c>
      <c r="B878" s="3" t="s">
        <v>296</v>
      </c>
      <c r="C878" s="55">
        <v>2111</v>
      </c>
      <c r="D878" s="79">
        <v>58.3536</v>
      </c>
      <c r="E878" s="79">
        <v>11.2178</v>
      </c>
      <c r="F878" s="14">
        <v>8195</v>
      </c>
      <c r="G878" s="10">
        <v>0</v>
      </c>
      <c r="H878" s="122">
        <v>5</v>
      </c>
      <c r="I878" s="165">
        <v>-0.71499999999999997</v>
      </c>
      <c r="J878" s="11">
        <v>0.57699999999999996</v>
      </c>
      <c r="K878" s="11">
        <v>-6.6000000000000003E-2</v>
      </c>
      <c r="L878" s="79">
        <v>0.15659999999999999</v>
      </c>
      <c r="M878" s="79">
        <v>9.5100000000000004E-2</v>
      </c>
      <c r="N878" s="79">
        <v>9.9000000000000005E-2</v>
      </c>
      <c r="O878" s="14">
        <v>180</v>
      </c>
      <c r="P878" s="14">
        <v>60</v>
      </c>
      <c r="Q878" s="11">
        <v>1E-3</v>
      </c>
      <c r="R878" s="14">
        <v>3</v>
      </c>
      <c r="S878" s="14">
        <v>1500</v>
      </c>
      <c r="T878" s="11">
        <v>0.1</v>
      </c>
      <c r="U878" s="122">
        <v>243817</v>
      </c>
      <c r="V878" s="35"/>
      <c r="W878" s="99">
        <f t="shared" si="1429"/>
        <v>2111</v>
      </c>
      <c r="X878" s="100">
        <f t="shared" si="1430"/>
        <v>58.3536</v>
      </c>
      <c r="Y878" s="100">
        <f t="shared" si="1431"/>
        <v>11.2178</v>
      </c>
      <c r="Z878" s="22">
        <f t="shared" si="1432"/>
        <v>8195</v>
      </c>
      <c r="AA878" s="35">
        <f t="shared" si="1433"/>
        <v>0</v>
      </c>
      <c r="AB878" s="22">
        <f t="shared" si="1428"/>
        <v>5</v>
      </c>
      <c r="AC878" s="137">
        <f>ROUND(I878+mwreg!$G$93/100,3)</f>
        <v>-0.76100000000000001</v>
      </c>
      <c r="AD878" s="134">
        <f>ROUND(J878+mwreg!$G$93/100,3)</f>
        <v>0.53100000000000003</v>
      </c>
      <c r="AE878" s="134">
        <f>ROUND(K878+mwreg!$G$93/100,3)</f>
        <v>-0.112</v>
      </c>
      <c r="AF878" s="132">
        <f t="shared" si="1501"/>
        <v>0.15659999999999999</v>
      </c>
      <c r="AG878" s="164">
        <f t="shared" si="1487"/>
        <v>9.5100000000000004E-2</v>
      </c>
      <c r="AH878" s="164">
        <f t="shared" si="1488"/>
        <v>9.9000000000000005E-2</v>
      </c>
      <c r="AI878" s="135">
        <f t="shared" si="1489"/>
        <v>180</v>
      </c>
      <c r="AJ878" s="135">
        <f t="shared" si="1490"/>
        <v>60</v>
      </c>
      <c r="AK878" s="134">
        <f t="shared" si="1491"/>
        <v>1E-3</v>
      </c>
      <c r="AL878" s="135">
        <f t="shared" si="1492"/>
        <v>3</v>
      </c>
      <c r="AM878" s="135">
        <f t="shared" si="1493"/>
        <v>1500</v>
      </c>
      <c r="AN878" s="134">
        <f t="shared" si="1494"/>
        <v>0.1</v>
      </c>
      <c r="AO878" s="187">
        <f t="shared" ref="AO878:AO897" si="1502">U878</f>
        <v>243817</v>
      </c>
    </row>
    <row r="879" spans="1:41" x14ac:dyDescent="0.2">
      <c r="A879" s="3" t="s">
        <v>296</v>
      </c>
      <c r="B879" s="3" t="s">
        <v>296</v>
      </c>
      <c r="C879" s="55">
        <v>2111</v>
      </c>
      <c r="D879" s="79">
        <v>58.3536</v>
      </c>
      <c r="E879" s="79">
        <v>11.2178</v>
      </c>
      <c r="F879" s="14">
        <v>8195</v>
      </c>
      <c r="G879" s="10">
        <v>0</v>
      </c>
      <c r="H879" s="122">
        <v>6</v>
      </c>
      <c r="I879" s="165">
        <v>-0.53900000000000003</v>
      </c>
      <c r="J879" s="11">
        <v>0.63200000000000001</v>
      </c>
      <c r="K879" s="11">
        <v>-1.9E-2</v>
      </c>
      <c r="L879" s="79">
        <v>0.14940000000000001</v>
      </c>
      <c r="M879" s="79">
        <v>9.1999999999999998E-2</v>
      </c>
      <c r="N879" s="79">
        <v>9.6000000000000002E-2</v>
      </c>
      <c r="O879" s="14">
        <v>180</v>
      </c>
      <c r="P879" s="14">
        <v>60</v>
      </c>
      <c r="Q879" s="11">
        <v>1E-3</v>
      </c>
      <c r="R879" s="14">
        <v>3</v>
      </c>
      <c r="S879" s="14">
        <v>1500</v>
      </c>
      <c r="T879" s="11">
        <v>0.1</v>
      </c>
      <c r="U879" s="122">
        <v>228069</v>
      </c>
      <c r="V879" s="35"/>
      <c r="W879" s="99">
        <f t="shared" si="1429"/>
        <v>2111</v>
      </c>
      <c r="X879" s="100">
        <f t="shared" si="1430"/>
        <v>58.3536</v>
      </c>
      <c r="Y879" s="100">
        <f t="shared" si="1431"/>
        <v>11.2178</v>
      </c>
      <c r="Z879" s="22">
        <f t="shared" si="1432"/>
        <v>8195</v>
      </c>
      <c r="AA879" s="35">
        <f t="shared" si="1433"/>
        <v>0</v>
      </c>
      <c r="AB879" s="22">
        <f t="shared" si="1428"/>
        <v>6</v>
      </c>
      <c r="AC879" s="137">
        <f>ROUND(I879+mwreg!$G$93/100,3)</f>
        <v>-0.58499999999999996</v>
      </c>
      <c r="AD879" s="134">
        <f>ROUND(J879+mwreg!$G$93/100,3)</f>
        <v>0.58599999999999997</v>
      </c>
      <c r="AE879" s="134">
        <f>ROUND(K879+mwreg!$G$93/100,3)</f>
        <v>-6.5000000000000002E-2</v>
      </c>
      <c r="AF879" s="132">
        <f t="shared" si="1501"/>
        <v>0.14940000000000001</v>
      </c>
      <c r="AG879" s="164">
        <f t="shared" si="1487"/>
        <v>9.1999999999999998E-2</v>
      </c>
      <c r="AH879" s="164">
        <f t="shared" si="1488"/>
        <v>9.6000000000000002E-2</v>
      </c>
      <c r="AI879" s="135">
        <f t="shared" si="1489"/>
        <v>180</v>
      </c>
      <c r="AJ879" s="135">
        <f t="shared" si="1490"/>
        <v>60</v>
      </c>
      <c r="AK879" s="134">
        <f t="shared" si="1491"/>
        <v>1E-3</v>
      </c>
      <c r="AL879" s="135">
        <f t="shared" si="1492"/>
        <v>3</v>
      </c>
      <c r="AM879" s="135">
        <f t="shared" si="1493"/>
        <v>1500</v>
      </c>
      <c r="AN879" s="134">
        <f t="shared" si="1494"/>
        <v>0.1</v>
      </c>
      <c r="AO879" s="187">
        <f t="shared" si="1502"/>
        <v>228069</v>
      </c>
    </row>
    <row r="880" spans="1:41" x14ac:dyDescent="0.2">
      <c r="A880" s="3" t="s">
        <v>296</v>
      </c>
      <c r="B880" s="3" t="s">
        <v>296</v>
      </c>
      <c r="C880" s="55">
        <v>2111</v>
      </c>
      <c r="D880" s="79">
        <v>58.3536</v>
      </c>
      <c r="E880" s="79">
        <v>11.2178</v>
      </c>
      <c r="F880" s="14">
        <v>8195</v>
      </c>
      <c r="G880" s="10">
        <v>0</v>
      </c>
      <c r="H880" s="122">
        <v>7</v>
      </c>
      <c r="I880" s="165">
        <v>-0.47199999999999998</v>
      </c>
      <c r="J880" s="11">
        <v>0.748</v>
      </c>
      <c r="K880" s="11">
        <v>0.05</v>
      </c>
      <c r="L880" s="79">
        <v>0.14829999999999999</v>
      </c>
      <c r="M880" s="79">
        <v>0.1454</v>
      </c>
      <c r="N880" s="79">
        <v>0.15</v>
      </c>
      <c r="O880" s="14">
        <v>180</v>
      </c>
      <c r="P880" s="14">
        <v>60</v>
      </c>
      <c r="Q880" s="11">
        <v>1E-3</v>
      </c>
      <c r="R880" s="14">
        <v>3</v>
      </c>
      <c r="S880" s="14">
        <v>1500</v>
      </c>
      <c r="T880" s="11">
        <v>0.1</v>
      </c>
      <c r="U880" s="122">
        <v>244082</v>
      </c>
      <c r="V880" s="35"/>
      <c r="W880" s="99">
        <f t="shared" si="1429"/>
        <v>2111</v>
      </c>
      <c r="X880" s="100">
        <f t="shared" si="1430"/>
        <v>58.3536</v>
      </c>
      <c r="Y880" s="100">
        <f t="shared" si="1431"/>
        <v>11.2178</v>
      </c>
      <c r="Z880" s="22">
        <f t="shared" si="1432"/>
        <v>8195</v>
      </c>
      <c r="AA880" s="35">
        <f t="shared" si="1433"/>
        <v>0</v>
      </c>
      <c r="AB880" s="22">
        <f t="shared" si="1428"/>
        <v>7</v>
      </c>
      <c r="AC880" s="137">
        <f>ROUND(I880+mwreg!$G$93/100,3)</f>
        <v>-0.51800000000000002</v>
      </c>
      <c r="AD880" s="134">
        <f>ROUND(J880+mwreg!$G$93/100,3)</f>
        <v>0.70199999999999996</v>
      </c>
      <c r="AE880" s="134">
        <f>ROUND(K880+mwreg!$G$93/100,3)</f>
        <v>4.0000000000000001E-3</v>
      </c>
      <c r="AF880" s="132">
        <f t="shared" si="1501"/>
        <v>0.14829999999999999</v>
      </c>
      <c r="AG880" s="164">
        <f t="shared" si="1487"/>
        <v>0.1454</v>
      </c>
      <c r="AH880" s="164">
        <f t="shared" si="1488"/>
        <v>0.15</v>
      </c>
      <c r="AI880" s="135">
        <f t="shared" si="1489"/>
        <v>180</v>
      </c>
      <c r="AJ880" s="135">
        <f t="shared" si="1490"/>
        <v>60</v>
      </c>
      <c r="AK880" s="134">
        <f t="shared" si="1491"/>
        <v>1E-3</v>
      </c>
      <c r="AL880" s="135">
        <f t="shared" si="1492"/>
        <v>3</v>
      </c>
      <c r="AM880" s="135">
        <f t="shared" si="1493"/>
        <v>1500</v>
      </c>
      <c r="AN880" s="134">
        <f t="shared" si="1494"/>
        <v>0.1</v>
      </c>
      <c r="AO880" s="187">
        <f t="shared" si="1502"/>
        <v>244082</v>
      </c>
    </row>
    <row r="881" spans="1:41" x14ac:dyDescent="0.2">
      <c r="A881" s="3" t="s">
        <v>296</v>
      </c>
      <c r="B881" s="3" t="s">
        <v>296</v>
      </c>
      <c r="C881" s="55">
        <v>2111</v>
      </c>
      <c r="D881" s="79">
        <v>58.3536</v>
      </c>
      <c r="E881" s="79">
        <v>11.2178</v>
      </c>
      <c r="F881" s="14">
        <v>8195</v>
      </c>
      <c r="G881" s="10">
        <v>0</v>
      </c>
      <c r="H881" s="122">
        <v>8</v>
      </c>
      <c r="I881" s="165">
        <v>-0.46500000000000002</v>
      </c>
      <c r="J881" s="11">
        <v>0.88900000000000001</v>
      </c>
      <c r="K881" s="11">
        <v>6.5000000000000002E-2</v>
      </c>
      <c r="L881" s="79">
        <v>0.15140000000000001</v>
      </c>
      <c r="M881" s="79">
        <v>0.12590000000000001</v>
      </c>
      <c r="N881" s="79">
        <v>0.13100000000000001</v>
      </c>
      <c r="O881" s="14">
        <v>180</v>
      </c>
      <c r="P881" s="14">
        <v>60</v>
      </c>
      <c r="Q881" s="11">
        <v>1E-3</v>
      </c>
      <c r="R881" s="14">
        <v>3</v>
      </c>
      <c r="S881" s="14">
        <v>1500</v>
      </c>
      <c r="T881" s="11">
        <v>0.1</v>
      </c>
      <c r="U881" s="122">
        <v>247866</v>
      </c>
      <c r="V881" s="35"/>
      <c r="W881" s="99">
        <f t="shared" si="1429"/>
        <v>2111</v>
      </c>
      <c r="X881" s="100">
        <f t="shared" si="1430"/>
        <v>58.3536</v>
      </c>
      <c r="Y881" s="100">
        <f t="shared" si="1431"/>
        <v>11.2178</v>
      </c>
      <c r="Z881" s="22">
        <f t="shared" si="1432"/>
        <v>8195</v>
      </c>
      <c r="AA881" s="35">
        <f t="shared" si="1433"/>
        <v>0</v>
      </c>
      <c r="AB881" s="22">
        <f t="shared" si="1428"/>
        <v>8</v>
      </c>
      <c r="AC881" s="137">
        <f>ROUND(I881+mwreg!$G$93/100,3)</f>
        <v>-0.51100000000000001</v>
      </c>
      <c r="AD881" s="134">
        <f>ROUND(J881+mwreg!$G$93/100,3)</f>
        <v>0.84299999999999997</v>
      </c>
      <c r="AE881" s="134">
        <f>ROUND(K881+mwreg!$G$93/100,3)</f>
        <v>1.9E-2</v>
      </c>
      <c r="AF881" s="132">
        <f t="shared" si="1501"/>
        <v>0.15140000000000001</v>
      </c>
      <c r="AG881" s="164">
        <f t="shared" si="1487"/>
        <v>0.12590000000000001</v>
      </c>
      <c r="AH881" s="164">
        <f t="shared" si="1488"/>
        <v>0.13100000000000001</v>
      </c>
      <c r="AI881" s="135">
        <f t="shared" si="1489"/>
        <v>180</v>
      </c>
      <c r="AJ881" s="135">
        <f t="shared" si="1490"/>
        <v>60</v>
      </c>
      <c r="AK881" s="134">
        <f t="shared" si="1491"/>
        <v>1E-3</v>
      </c>
      <c r="AL881" s="135">
        <f t="shared" si="1492"/>
        <v>3</v>
      </c>
      <c r="AM881" s="135">
        <f t="shared" si="1493"/>
        <v>1500</v>
      </c>
      <c r="AN881" s="134">
        <f t="shared" si="1494"/>
        <v>0.1</v>
      </c>
      <c r="AO881" s="187">
        <f t="shared" si="1502"/>
        <v>247866</v>
      </c>
    </row>
    <row r="882" spans="1:41" x14ac:dyDescent="0.2">
      <c r="A882" s="3" t="s">
        <v>296</v>
      </c>
      <c r="B882" s="3" t="s">
        <v>296</v>
      </c>
      <c r="C882" s="55">
        <v>2111</v>
      </c>
      <c r="D882" s="79">
        <v>58.3536</v>
      </c>
      <c r="E882" s="79">
        <v>11.2178</v>
      </c>
      <c r="F882" s="14">
        <v>8195</v>
      </c>
      <c r="G882" s="10">
        <v>0</v>
      </c>
      <c r="H882" s="122">
        <v>9</v>
      </c>
      <c r="I882" s="165">
        <v>-0.59299999999999997</v>
      </c>
      <c r="J882" s="11">
        <v>1.133</v>
      </c>
      <c r="K882" s="11">
        <v>8.6999999999999994E-2</v>
      </c>
      <c r="L882" s="79">
        <v>0.1913</v>
      </c>
      <c r="M882" s="79">
        <v>0.17269999999999999</v>
      </c>
      <c r="N882" s="79">
        <v>0.17899999999999999</v>
      </c>
      <c r="O882" s="14">
        <v>180</v>
      </c>
      <c r="P882" s="14">
        <v>60</v>
      </c>
      <c r="Q882" s="11">
        <v>1E-3</v>
      </c>
      <c r="R882" s="14">
        <v>3</v>
      </c>
      <c r="S882" s="14">
        <v>1500</v>
      </c>
      <c r="T882" s="11">
        <v>0.1</v>
      </c>
      <c r="U882" s="122">
        <v>239370</v>
      </c>
      <c r="V882" s="35"/>
      <c r="W882" s="99">
        <f t="shared" si="1429"/>
        <v>2111</v>
      </c>
      <c r="X882" s="100">
        <f t="shared" si="1430"/>
        <v>58.3536</v>
      </c>
      <c r="Y882" s="100">
        <f t="shared" si="1431"/>
        <v>11.2178</v>
      </c>
      <c r="Z882" s="22">
        <f t="shared" si="1432"/>
        <v>8195</v>
      </c>
      <c r="AA882" s="35">
        <f t="shared" si="1433"/>
        <v>0</v>
      </c>
      <c r="AB882" s="22">
        <f t="shared" si="1428"/>
        <v>9</v>
      </c>
      <c r="AC882" s="137">
        <f>ROUND(I882+mwreg!$G$93/100,3)</f>
        <v>-0.63900000000000001</v>
      </c>
      <c r="AD882" s="134">
        <f>ROUND(J882+mwreg!$G$93/100,3)</f>
        <v>1.087</v>
      </c>
      <c r="AE882" s="134">
        <f>ROUND(K882+mwreg!$G$93/100,3)</f>
        <v>4.1000000000000002E-2</v>
      </c>
      <c r="AF882" s="132">
        <f t="shared" si="1501"/>
        <v>0.1913</v>
      </c>
      <c r="AG882" s="164">
        <f t="shared" si="1487"/>
        <v>0.17269999999999999</v>
      </c>
      <c r="AH882" s="164">
        <f t="shared" si="1488"/>
        <v>0.17899999999999999</v>
      </c>
      <c r="AI882" s="135">
        <f t="shared" si="1489"/>
        <v>180</v>
      </c>
      <c r="AJ882" s="135">
        <f t="shared" si="1490"/>
        <v>60</v>
      </c>
      <c r="AK882" s="134">
        <f t="shared" si="1491"/>
        <v>1E-3</v>
      </c>
      <c r="AL882" s="135">
        <f t="shared" si="1492"/>
        <v>3</v>
      </c>
      <c r="AM882" s="135">
        <f t="shared" si="1493"/>
        <v>1500</v>
      </c>
      <c r="AN882" s="134">
        <f t="shared" si="1494"/>
        <v>0.1</v>
      </c>
      <c r="AO882" s="187">
        <f t="shared" si="1502"/>
        <v>239370</v>
      </c>
    </row>
    <row r="883" spans="1:41" x14ac:dyDescent="0.2">
      <c r="A883" s="3" t="s">
        <v>296</v>
      </c>
      <c r="B883" s="3" t="s">
        <v>296</v>
      </c>
      <c r="C883" s="55">
        <v>2111</v>
      </c>
      <c r="D883" s="79">
        <v>58.3536</v>
      </c>
      <c r="E883" s="79">
        <v>11.2178</v>
      </c>
      <c r="F883" s="14">
        <v>8195</v>
      </c>
      <c r="G883" s="10">
        <v>0</v>
      </c>
      <c r="H883" s="122">
        <v>10</v>
      </c>
      <c r="I883" s="165">
        <v>-0.60399999999999998</v>
      </c>
      <c r="J883" s="11">
        <v>1.347</v>
      </c>
      <c r="K883" s="11">
        <v>8.3000000000000004E-2</v>
      </c>
      <c r="L883" s="79">
        <v>0.21859999999999999</v>
      </c>
      <c r="M883" s="79">
        <v>0.13239999999999999</v>
      </c>
      <c r="N883" s="79">
        <v>0.13900000000000001</v>
      </c>
      <c r="O883" s="14">
        <v>180</v>
      </c>
      <c r="P883" s="14">
        <v>60</v>
      </c>
      <c r="Q883" s="11">
        <v>1E-3</v>
      </c>
      <c r="R883" s="14">
        <v>3</v>
      </c>
      <c r="S883" s="14">
        <v>1500</v>
      </c>
      <c r="T883" s="11">
        <v>0.1</v>
      </c>
      <c r="U883" s="122">
        <v>252596</v>
      </c>
      <c r="V883" s="35"/>
      <c r="W883" s="99">
        <f t="shared" si="1429"/>
        <v>2111</v>
      </c>
      <c r="X883" s="100">
        <f t="shared" si="1430"/>
        <v>58.3536</v>
      </c>
      <c r="Y883" s="100">
        <f t="shared" si="1431"/>
        <v>11.2178</v>
      </c>
      <c r="Z883" s="22">
        <f t="shared" si="1432"/>
        <v>8195</v>
      </c>
      <c r="AA883" s="35">
        <f t="shared" si="1433"/>
        <v>0</v>
      </c>
      <c r="AB883" s="22">
        <f t="shared" si="1428"/>
        <v>10</v>
      </c>
      <c r="AC883" s="137">
        <f>ROUND(I883+mwreg!$G$93/100,3)</f>
        <v>-0.65</v>
      </c>
      <c r="AD883" s="134">
        <f>ROUND(J883+mwreg!$G$93/100,3)</f>
        <v>1.3009999999999999</v>
      </c>
      <c r="AE883" s="134">
        <f>ROUND(K883+mwreg!$G$93/100,3)</f>
        <v>3.6999999999999998E-2</v>
      </c>
      <c r="AF883" s="132">
        <f t="shared" si="1501"/>
        <v>0.21859999999999999</v>
      </c>
      <c r="AG883" s="164">
        <f t="shared" si="1487"/>
        <v>0.13239999999999999</v>
      </c>
      <c r="AH883" s="164">
        <f t="shared" si="1488"/>
        <v>0.13900000000000001</v>
      </c>
      <c r="AI883" s="135">
        <f t="shared" si="1489"/>
        <v>180</v>
      </c>
      <c r="AJ883" s="135">
        <f t="shared" si="1490"/>
        <v>60</v>
      </c>
      <c r="AK883" s="134">
        <f t="shared" si="1491"/>
        <v>1E-3</v>
      </c>
      <c r="AL883" s="135">
        <f t="shared" si="1492"/>
        <v>3</v>
      </c>
      <c r="AM883" s="135">
        <f t="shared" si="1493"/>
        <v>1500</v>
      </c>
      <c r="AN883" s="134">
        <f t="shared" si="1494"/>
        <v>0.1</v>
      </c>
      <c r="AO883" s="187">
        <f t="shared" si="1502"/>
        <v>252596</v>
      </c>
    </row>
    <row r="884" spans="1:41" x14ac:dyDescent="0.2">
      <c r="A884" s="3" t="s">
        <v>296</v>
      </c>
      <c r="B884" s="3" t="s">
        <v>296</v>
      </c>
      <c r="C884" s="55">
        <v>2111</v>
      </c>
      <c r="D884" s="79">
        <v>58.3536</v>
      </c>
      <c r="E884" s="79">
        <v>11.2178</v>
      </c>
      <c r="F884" s="14">
        <v>8195</v>
      </c>
      <c r="G884" s="10">
        <v>0</v>
      </c>
      <c r="H884" s="122">
        <v>11</v>
      </c>
      <c r="I884" s="165">
        <v>-0.78600000000000003</v>
      </c>
      <c r="J884" s="11">
        <v>1.496</v>
      </c>
      <c r="K884" s="11">
        <v>9.7000000000000003E-2</v>
      </c>
      <c r="L884" s="79">
        <v>0.2399</v>
      </c>
      <c r="M884" s="79">
        <v>0.18679999999999999</v>
      </c>
      <c r="N884" s="79">
        <v>0.19500000000000001</v>
      </c>
      <c r="O884" s="14">
        <v>180</v>
      </c>
      <c r="P884" s="14">
        <v>60</v>
      </c>
      <c r="Q884" s="11">
        <v>1E-3</v>
      </c>
      <c r="R884" s="14">
        <v>3</v>
      </c>
      <c r="S884" s="14">
        <v>1500</v>
      </c>
      <c r="T884" s="11">
        <v>0.1</v>
      </c>
      <c r="U884" s="122">
        <v>244305</v>
      </c>
      <c r="V884" s="35"/>
      <c r="W884" s="99">
        <f t="shared" si="1429"/>
        <v>2111</v>
      </c>
      <c r="X884" s="100">
        <f t="shared" si="1430"/>
        <v>58.3536</v>
      </c>
      <c r="Y884" s="100">
        <f t="shared" si="1431"/>
        <v>11.2178</v>
      </c>
      <c r="Z884" s="22">
        <f t="shared" si="1432"/>
        <v>8195</v>
      </c>
      <c r="AA884" s="35">
        <f t="shared" si="1433"/>
        <v>0</v>
      </c>
      <c r="AB884" s="22">
        <f t="shared" si="1428"/>
        <v>11</v>
      </c>
      <c r="AC884" s="137">
        <f>ROUND(I884+mwreg!$G$93/100,3)</f>
        <v>-0.83199999999999996</v>
      </c>
      <c r="AD884" s="134">
        <f>ROUND(J884+mwreg!$G$93/100,3)</f>
        <v>1.45</v>
      </c>
      <c r="AE884" s="134">
        <f>ROUND(K884+mwreg!$G$93/100,3)</f>
        <v>5.0999999999999997E-2</v>
      </c>
      <c r="AF884" s="132">
        <f t="shared" si="1501"/>
        <v>0.2399</v>
      </c>
      <c r="AG884" s="164">
        <f t="shared" si="1487"/>
        <v>0.18679999999999999</v>
      </c>
      <c r="AH884" s="164">
        <f t="shared" si="1488"/>
        <v>0.19500000000000001</v>
      </c>
      <c r="AI884" s="135">
        <f t="shared" si="1489"/>
        <v>180</v>
      </c>
      <c r="AJ884" s="135">
        <f t="shared" si="1490"/>
        <v>60</v>
      </c>
      <c r="AK884" s="134">
        <f t="shared" si="1491"/>
        <v>1E-3</v>
      </c>
      <c r="AL884" s="135">
        <f t="shared" si="1492"/>
        <v>3</v>
      </c>
      <c r="AM884" s="135">
        <f t="shared" si="1493"/>
        <v>1500</v>
      </c>
      <c r="AN884" s="134">
        <f t="shared" si="1494"/>
        <v>0.1</v>
      </c>
      <c r="AO884" s="187">
        <f t="shared" si="1502"/>
        <v>244305</v>
      </c>
    </row>
    <row r="885" spans="1:41" x14ac:dyDescent="0.2">
      <c r="A885" s="3" t="s">
        <v>296</v>
      </c>
      <c r="B885" s="3" t="s">
        <v>296</v>
      </c>
      <c r="C885" s="55">
        <v>2111</v>
      </c>
      <c r="D885" s="79">
        <v>58.3536</v>
      </c>
      <c r="E885" s="79">
        <v>11.2178</v>
      </c>
      <c r="F885" s="14">
        <v>8195</v>
      </c>
      <c r="G885" s="10">
        <v>0</v>
      </c>
      <c r="H885" s="122">
        <v>12</v>
      </c>
      <c r="I885" s="165">
        <v>-0.83399999999999996</v>
      </c>
      <c r="J885" s="11">
        <v>1.365</v>
      </c>
      <c r="K885" s="11">
        <v>0.125</v>
      </c>
      <c r="L885" s="79">
        <v>0.26279999999999998</v>
      </c>
      <c r="M885" s="79">
        <v>0.2203</v>
      </c>
      <c r="N885" s="79">
        <v>0.23300000000000001</v>
      </c>
      <c r="O885" s="14">
        <v>180</v>
      </c>
      <c r="P885" s="14">
        <v>60</v>
      </c>
      <c r="Q885" s="11">
        <v>1E-3</v>
      </c>
      <c r="R885" s="14">
        <v>3</v>
      </c>
      <c r="S885" s="14">
        <v>1500</v>
      </c>
      <c r="T885" s="11">
        <v>0.1</v>
      </c>
      <c r="U885" s="122">
        <v>216493</v>
      </c>
      <c r="V885" s="35"/>
      <c r="W885" s="99">
        <f t="shared" si="1429"/>
        <v>2111</v>
      </c>
      <c r="X885" s="100">
        <f t="shared" si="1430"/>
        <v>58.3536</v>
      </c>
      <c r="Y885" s="100">
        <f t="shared" si="1431"/>
        <v>11.2178</v>
      </c>
      <c r="Z885" s="22">
        <f t="shared" si="1432"/>
        <v>8195</v>
      </c>
      <c r="AA885" s="35">
        <f t="shared" si="1433"/>
        <v>0</v>
      </c>
      <c r="AB885" s="22">
        <f t="shared" si="1428"/>
        <v>12</v>
      </c>
      <c r="AC885" s="137">
        <f>ROUND(I885+mwreg!$G$93/100,3)</f>
        <v>-0.88</v>
      </c>
      <c r="AD885" s="134">
        <f>ROUND(J885+mwreg!$G$93/100,3)</f>
        <v>1.319</v>
      </c>
      <c r="AE885" s="134">
        <f>ROUND(K885+mwreg!$G$93/100,3)</f>
        <v>7.9000000000000001E-2</v>
      </c>
      <c r="AF885" s="132">
        <f t="shared" si="1501"/>
        <v>0.26279999999999998</v>
      </c>
      <c r="AG885" s="164">
        <f t="shared" si="1487"/>
        <v>0.2203</v>
      </c>
      <c r="AH885" s="164">
        <f t="shared" si="1488"/>
        <v>0.23300000000000001</v>
      </c>
      <c r="AI885" s="135">
        <f t="shared" si="1489"/>
        <v>180</v>
      </c>
      <c r="AJ885" s="135">
        <f t="shared" si="1490"/>
        <v>60</v>
      </c>
      <c r="AK885" s="134">
        <f t="shared" si="1491"/>
        <v>1E-3</v>
      </c>
      <c r="AL885" s="135">
        <f t="shared" si="1492"/>
        <v>3</v>
      </c>
      <c r="AM885" s="135">
        <f t="shared" si="1493"/>
        <v>1500</v>
      </c>
      <c r="AN885" s="134">
        <f t="shared" si="1494"/>
        <v>0.1</v>
      </c>
      <c r="AO885" s="187">
        <f t="shared" si="1502"/>
        <v>216493</v>
      </c>
    </row>
    <row r="886" spans="1:41" x14ac:dyDescent="0.2">
      <c r="A886" s="3" t="str">
        <f>stat_uppg!A84</f>
        <v>2130/33073</v>
      </c>
      <c r="B886" s="3" t="str">
        <f>stat_uppg!B84</f>
        <v>KUNGSVIK (SMHI)</v>
      </c>
      <c r="C886" s="55">
        <v>2130</v>
      </c>
      <c r="D886" s="79">
        <v>58.996699999999997</v>
      </c>
      <c r="E886" s="79">
        <v>11.1272</v>
      </c>
      <c r="F886" s="14">
        <v>8195</v>
      </c>
      <c r="G886" s="10">
        <v>0</v>
      </c>
      <c r="H886" s="122">
        <v>1</v>
      </c>
      <c r="I886" s="165">
        <v>-1.17</v>
      </c>
      <c r="J886" s="11">
        <v>1.266</v>
      </c>
      <c r="K886" s="11">
        <v>6.6000000000000003E-2</v>
      </c>
      <c r="L886" s="79">
        <v>0.29959999999999998</v>
      </c>
      <c r="M886" s="79">
        <v>3.1899999999999998E-2</v>
      </c>
      <c r="N886" s="79">
        <v>3.4000000000000002E-2</v>
      </c>
      <c r="O886" s="14">
        <v>180</v>
      </c>
      <c r="P886" s="14">
        <v>60</v>
      </c>
      <c r="Q886" s="11">
        <v>1E-3</v>
      </c>
      <c r="R886" s="14">
        <v>3</v>
      </c>
      <c r="S886" s="14">
        <v>1500</v>
      </c>
      <c r="T886" s="11">
        <v>0.1</v>
      </c>
      <c r="U886" s="122">
        <v>195623</v>
      </c>
      <c r="V886" s="35"/>
      <c r="W886" s="99">
        <f t="shared" si="1429"/>
        <v>2130</v>
      </c>
      <c r="X886" s="100">
        <f t="shared" si="1430"/>
        <v>58.996699999999997</v>
      </c>
      <c r="Y886" s="100">
        <f t="shared" si="1431"/>
        <v>11.1272</v>
      </c>
      <c r="Z886" s="22">
        <f t="shared" si="1432"/>
        <v>8195</v>
      </c>
      <c r="AA886" s="35">
        <f t="shared" si="1433"/>
        <v>0</v>
      </c>
      <c r="AB886" s="22">
        <f t="shared" si="1428"/>
        <v>1</v>
      </c>
      <c r="AC886" s="137">
        <f>ROUND(I886+mwreg!$G$94/100,3)</f>
        <v>-1.222</v>
      </c>
      <c r="AD886" s="134">
        <f>ROUND(J886+mwreg!$G$94/100,3)</f>
        <v>1.214</v>
      </c>
      <c r="AE886" s="134">
        <f>ROUND(K886+mwreg!$G$94/100,3)</f>
        <v>1.4E-2</v>
      </c>
      <c r="AF886" s="132">
        <f t="shared" si="1501"/>
        <v>0.29959999999999998</v>
      </c>
      <c r="AG886" s="164">
        <f t="shared" si="1487"/>
        <v>3.1899999999999998E-2</v>
      </c>
      <c r="AH886" s="164">
        <f t="shared" si="1488"/>
        <v>3.4000000000000002E-2</v>
      </c>
      <c r="AI886" s="135">
        <f t="shared" si="1489"/>
        <v>180</v>
      </c>
      <c r="AJ886" s="135">
        <f t="shared" si="1490"/>
        <v>60</v>
      </c>
      <c r="AK886" s="134">
        <f t="shared" si="1491"/>
        <v>1E-3</v>
      </c>
      <c r="AL886" s="135">
        <f t="shared" si="1492"/>
        <v>3</v>
      </c>
      <c r="AM886" s="135">
        <f t="shared" si="1493"/>
        <v>1500</v>
      </c>
      <c r="AN886" s="134">
        <f t="shared" si="1494"/>
        <v>0.1</v>
      </c>
      <c r="AO886" s="187">
        <f t="shared" si="1502"/>
        <v>195623</v>
      </c>
    </row>
    <row r="887" spans="1:41" x14ac:dyDescent="0.2">
      <c r="A887" s="3" t="s">
        <v>296</v>
      </c>
      <c r="B887" s="3" t="s">
        <v>296</v>
      </c>
      <c r="C887" s="55">
        <v>2130</v>
      </c>
      <c r="D887" s="79">
        <v>58.996699999999997</v>
      </c>
      <c r="E887" s="79">
        <v>11.1272</v>
      </c>
      <c r="F887" s="14">
        <v>8195</v>
      </c>
      <c r="G887" s="10">
        <v>0</v>
      </c>
      <c r="H887" s="122">
        <v>2</v>
      </c>
      <c r="I887" s="165">
        <v>-1.0089999999999999</v>
      </c>
      <c r="J887" s="11">
        <v>1.4179999999999999</v>
      </c>
      <c r="K887" s="11">
        <v>3.4000000000000002E-2</v>
      </c>
      <c r="L887" s="79">
        <v>0.31490000000000001</v>
      </c>
      <c r="M887" s="79">
        <v>2.3900000000000001E-2</v>
      </c>
      <c r="N887" s="79">
        <v>2.6200000000000001E-2</v>
      </c>
      <c r="O887" s="14">
        <v>180</v>
      </c>
      <c r="P887" s="14">
        <v>60</v>
      </c>
      <c r="Q887" s="11">
        <v>1E-3</v>
      </c>
      <c r="R887" s="14">
        <v>3</v>
      </c>
      <c r="S887" s="14">
        <v>1500</v>
      </c>
      <c r="T887" s="11">
        <v>0.1</v>
      </c>
      <c r="U887" s="122">
        <v>186812</v>
      </c>
      <c r="V887" s="35"/>
      <c r="W887" s="99">
        <f t="shared" si="1429"/>
        <v>2130</v>
      </c>
      <c r="X887" s="100">
        <f t="shared" si="1430"/>
        <v>58.996699999999997</v>
      </c>
      <c r="Y887" s="100">
        <f t="shared" si="1431"/>
        <v>11.1272</v>
      </c>
      <c r="Z887" s="22">
        <f t="shared" si="1432"/>
        <v>8195</v>
      </c>
      <c r="AA887" s="35">
        <f t="shared" si="1433"/>
        <v>0</v>
      </c>
      <c r="AB887" s="22">
        <f t="shared" si="1428"/>
        <v>2</v>
      </c>
      <c r="AC887" s="137">
        <f>ROUND(I887+mwreg!$G$94/100,3)</f>
        <v>-1.0609999999999999</v>
      </c>
      <c r="AD887" s="134">
        <f>ROUND(J887+mwreg!$G$94/100,3)</f>
        <v>1.3660000000000001</v>
      </c>
      <c r="AE887" s="134">
        <f>ROUND(K887+mwreg!$G$94/100,3)</f>
        <v>-1.7999999999999999E-2</v>
      </c>
      <c r="AF887" s="132">
        <f t="shared" si="1501"/>
        <v>0.31490000000000001</v>
      </c>
      <c r="AG887" s="164">
        <f t="shared" si="1487"/>
        <v>2.3900000000000001E-2</v>
      </c>
      <c r="AH887" s="164">
        <f t="shared" si="1488"/>
        <v>2.6200000000000001E-2</v>
      </c>
      <c r="AI887" s="135">
        <f t="shared" si="1489"/>
        <v>180</v>
      </c>
      <c r="AJ887" s="135">
        <f t="shared" si="1490"/>
        <v>60</v>
      </c>
      <c r="AK887" s="134">
        <f t="shared" si="1491"/>
        <v>1E-3</v>
      </c>
      <c r="AL887" s="135">
        <f t="shared" si="1492"/>
        <v>3</v>
      </c>
      <c r="AM887" s="135">
        <f t="shared" si="1493"/>
        <v>1500</v>
      </c>
      <c r="AN887" s="134">
        <f t="shared" si="1494"/>
        <v>0.1</v>
      </c>
      <c r="AO887" s="187">
        <f t="shared" si="1502"/>
        <v>186812</v>
      </c>
    </row>
    <row r="888" spans="1:41" x14ac:dyDescent="0.2">
      <c r="A888" s="3" t="s">
        <v>296</v>
      </c>
      <c r="B888" s="3" t="s">
        <v>296</v>
      </c>
      <c r="C888" s="55">
        <v>2130</v>
      </c>
      <c r="D888" s="79">
        <v>58.996699999999997</v>
      </c>
      <c r="E888" s="79">
        <v>11.1272</v>
      </c>
      <c r="F888" s="14">
        <v>8195</v>
      </c>
      <c r="G888" s="10">
        <v>0</v>
      </c>
      <c r="H888" s="122">
        <v>3</v>
      </c>
      <c r="I888" s="165">
        <v>-1.0309999999999999</v>
      </c>
      <c r="J888" s="11">
        <v>1.208</v>
      </c>
      <c r="K888" s="11">
        <v>-3.3000000000000002E-2</v>
      </c>
      <c r="L888" s="79">
        <v>0.2576</v>
      </c>
      <c r="M888" s="79">
        <v>2.23E-2</v>
      </c>
      <c r="N888" s="79">
        <v>2.4E-2</v>
      </c>
      <c r="O888" s="14">
        <v>180</v>
      </c>
      <c r="P888" s="14">
        <v>60</v>
      </c>
      <c r="Q888" s="11">
        <v>1E-3</v>
      </c>
      <c r="R888" s="14">
        <v>3</v>
      </c>
      <c r="S888" s="14">
        <v>1500</v>
      </c>
      <c r="T888" s="11">
        <v>0.1</v>
      </c>
      <c r="U888" s="122">
        <v>199488</v>
      </c>
      <c r="V888" s="35"/>
      <c r="W888" s="99">
        <f t="shared" si="1429"/>
        <v>2130</v>
      </c>
      <c r="X888" s="100">
        <f t="shared" si="1430"/>
        <v>58.996699999999997</v>
      </c>
      <c r="Y888" s="100">
        <f t="shared" si="1431"/>
        <v>11.1272</v>
      </c>
      <c r="Z888" s="22">
        <f t="shared" si="1432"/>
        <v>8195</v>
      </c>
      <c r="AA888" s="35">
        <f t="shared" si="1433"/>
        <v>0</v>
      </c>
      <c r="AB888" s="22">
        <f t="shared" si="1428"/>
        <v>3</v>
      </c>
      <c r="AC888" s="137">
        <f>ROUND(I888+mwreg!$G$94/100,3)</f>
        <v>-1.083</v>
      </c>
      <c r="AD888" s="134">
        <f>ROUND(J888+mwreg!$G$94/100,3)</f>
        <v>1.1559999999999999</v>
      </c>
      <c r="AE888" s="134">
        <f>ROUND(K888+mwreg!$G$94/100,3)</f>
        <v>-8.5000000000000006E-2</v>
      </c>
      <c r="AF888" s="132">
        <f t="shared" si="1501"/>
        <v>0.2576</v>
      </c>
      <c r="AG888" s="164">
        <f t="shared" si="1487"/>
        <v>2.23E-2</v>
      </c>
      <c r="AH888" s="164">
        <f t="shared" si="1488"/>
        <v>2.4E-2</v>
      </c>
      <c r="AI888" s="135">
        <f t="shared" si="1489"/>
        <v>180</v>
      </c>
      <c r="AJ888" s="135">
        <f t="shared" si="1490"/>
        <v>60</v>
      </c>
      <c r="AK888" s="134">
        <f t="shared" si="1491"/>
        <v>1E-3</v>
      </c>
      <c r="AL888" s="135">
        <f t="shared" si="1492"/>
        <v>3</v>
      </c>
      <c r="AM888" s="135">
        <f t="shared" si="1493"/>
        <v>1500</v>
      </c>
      <c r="AN888" s="134">
        <f t="shared" si="1494"/>
        <v>0.1</v>
      </c>
      <c r="AO888" s="187">
        <f t="shared" si="1502"/>
        <v>199488</v>
      </c>
    </row>
    <row r="889" spans="1:41" x14ac:dyDescent="0.2">
      <c r="A889" s="3" t="s">
        <v>296</v>
      </c>
      <c r="B889" s="3" t="s">
        <v>296</v>
      </c>
      <c r="C889" s="55">
        <v>2130</v>
      </c>
      <c r="D889" s="79">
        <v>58.996699999999997</v>
      </c>
      <c r="E889" s="79">
        <v>11.1272</v>
      </c>
      <c r="F889" s="14">
        <v>8195</v>
      </c>
      <c r="G889" s="10">
        <v>0</v>
      </c>
      <c r="H889" s="122">
        <v>4</v>
      </c>
      <c r="I889" s="165">
        <v>-0.8</v>
      </c>
      <c r="J889" s="11">
        <v>0.94</v>
      </c>
      <c r="K889" s="11">
        <v>-0.13100000000000001</v>
      </c>
      <c r="L889" s="79">
        <v>0.1837</v>
      </c>
      <c r="M889" s="79">
        <v>3.1600000000000003E-2</v>
      </c>
      <c r="N889" s="79">
        <v>3.3000000000000002E-2</v>
      </c>
      <c r="O889" s="14">
        <v>180</v>
      </c>
      <c r="P889" s="14">
        <v>60</v>
      </c>
      <c r="Q889" s="11">
        <v>1E-3</v>
      </c>
      <c r="R889" s="14">
        <v>3</v>
      </c>
      <c r="S889" s="14">
        <v>1500</v>
      </c>
      <c r="T889" s="11">
        <v>0.1</v>
      </c>
      <c r="U889" s="122">
        <v>187660</v>
      </c>
      <c r="V889" s="35"/>
      <c r="W889" s="99">
        <f t="shared" si="1429"/>
        <v>2130</v>
      </c>
      <c r="X889" s="100">
        <f t="shared" si="1430"/>
        <v>58.996699999999997</v>
      </c>
      <c r="Y889" s="100">
        <f t="shared" si="1431"/>
        <v>11.1272</v>
      </c>
      <c r="Z889" s="22">
        <f t="shared" si="1432"/>
        <v>8195</v>
      </c>
      <c r="AA889" s="35">
        <f t="shared" si="1433"/>
        <v>0</v>
      </c>
      <c r="AB889" s="22">
        <f t="shared" si="1428"/>
        <v>4</v>
      </c>
      <c r="AC889" s="137">
        <f>ROUND(I889+mwreg!$G$94/100,3)</f>
        <v>-0.85199999999999998</v>
      </c>
      <c r="AD889" s="134">
        <f>ROUND(J889+mwreg!$G$94/100,3)</f>
        <v>0.88800000000000001</v>
      </c>
      <c r="AE889" s="134">
        <f>ROUND(K889+mwreg!$G$94/100,3)</f>
        <v>-0.183</v>
      </c>
      <c r="AF889" s="132">
        <f t="shared" si="1501"/>
        <v>0.1837</v>
      </c>
      <c r="AG889" s="164">
        <f t="shared" si="1487"/>
        <v>3.1600000000000003E-2</v>
      </c>
      <c r="AH889" s="164">
        <f t="shared" si="1488"/>
        <v>3.3000000000000002E-2</v>
      </c>
      <c r="AI889" s="135">
        <f t="shared" si="1489"/>
        <v>180</v>
      </c>
      <c r="AJ889" s="135">
        <f t="shared" si="1490"/>
        <v>60</v>
      </c>
      <c r="AK889" s="134">
        <f t="shared" si="1491"/>
        <v>1E-3</v>
      </c>
      <c r="AL889" s="135">
        <f t="shared" si="1492"/>
        <v>3</v>
      </c>
      <c r="AM889" s="135">
        <f t="shared" si="1493"/>
        <v>1500</v>
      </c>
      <c r="AN889" s="134">
        <f t="shared" si="1494"/>
        <v>0.1</v>
      </c>
      <c r="AO889" s="187">
        <f t="shared" si="1502"/>
        <v>187660</v>
      </c>
    </row>
    <row r="890" spans="1:41" x14ac:dyDescent="0.2">
      <c r="A890" s="3" t="s">
        <v>296</v>
      </c>
      <c r="B890" s="3" t="s">
        <v>296</v>
      </c>
      <c r="C890" s="55">
        <v>2130</v>
      </c>
      <c r="D890" s="79">
        <v>58.996699999999997</v>
      </c>
      <c r="E890" s="79">
        <v>11.1272</v>
      </c>
      <c r="F890" s="14">
        <v>8195</v>
      </c>
      <c r="G890" s="10">
        <v>0</v>
      </c>
      <c r="H890" s="122">
        <v>5</v>
      </c>
      <c r="I890" s="165">
        <v>-0.72299999999999998</v>
      </c>
      <c r="J890" s="11">
        <v>0.63200000000000001</v>
      </c>
      <c r="K890" s="11">
        <v>-9.5000000000000001E-2</v>
      </c>
      <c r="L890" s="79">
        <v>0.16930000000000001</v>
      </c>
      <c r="M890" s="79">
        <v>1.9800000000000002E-2</v>
      </c>
      <c r="N890" s="79">
        <v>2.1100000000000001E-2</v>
      </c>
      <c r="O890" s="14">
        <v>180</v>
      </c>
      <c r="P890" s="14">
        <v>60</v>
      </c>
      <c r="Q890" s="11">
        <v>1E-3</v>
      </c>
      <c r="R890" s="14">
        <v>3</v>
      </c>
      <c r="S890" s="14">
        <v>1500</v>
      </c>
      <c r="T890" s="11">
        <v>0.1</v>
      </c>
      <c r="U890" s="122">
        <v>211363</v>
      </c>
      <c r="V890" s="35"/>
      <c r="W890" s="99">
        <f t="shared" si="1429"/>
        <v>2130</v>
      </c>
      <c r="X890" s="100">
        <f t="shared" si="1430"/>
        <v>58.996699999999997</v>
      </c>
      <c r="Y890" s="100">
        <f t="shared" si="1431"/>
        <v>11.1272</v>
      </c>
      <c r="Z890" s="22">
        <f t="shared" si="1432"/>
        <v>8195</v>
      </c>
      <c r="AA890" s="35">
        <f t="shared" si="1433"/>
        <v>0</v>
      </c>
      <c r="AB890" s="22">
        <f t="shared" si="1428"/>
        <v>5</v>
      </c>
      <c r="AC890" s="137">
        <f>ROUND(I890+mwreg!$G$94/100,3)</f>
        <v>-0.77500000000000002</v>
      </c>
      <c r="AD890" s="134">
        <f>ROUND(J890+mwreg!$G$94/100,3)</f>
        <v>0.57999999999999996</v>
      </c>
      <c r="AE890" s="134">
        <f>ROUND(K890+mwreg!$G$94/100,3)</f>
        <v>-0.14699999999999999</v>
      </c>
      <c r="AF890" s="132">
        <f t="shared" si="1501"/>
        <v>0.16930000000000001</v>
      </c>
      <c r="AG890" s="164">
        <f t="shared" si="1487"/>
        <v>1.9800000000000002E-2</v>
      </c>
      <c r="AH890" s="164">
        <f t="shared" si="1488"/>
        <v>2.1100000000000001E-2</v>
      </c>
      <c r="AI890" s="135">
        <f t="shared" si="1489"/>
        <v>180</v>
      </c>
      <c r="AJ890" s="135">
        <f t="shared" si="1490"/>
        <v>60</v>
      </c>
      <c r="AK890" s="134">
        <f t="shared" si="1491"/>
        <v>1E-3</v>
      </c>
      <c r="AL890" s="135">
        <f t="shared" si="1492"/>
        <v>3</v>
      </c>
      <c r="AM890" s="135">
        <f t="shared" si="1493"/>
        <v>1500</v>
      </c>
      <c r="AN890" s="134">
        <f t="shared" si="1494"/>
        <v>0.1</v>
      </c>
      <c r="AO890" s="187">
        <f t="shared" si="1502"/>
        <v>211363</v>
      </c>
    </row>
    <row r="891" spans="1:41" x14ac:dyDescent="0.2">
      <c r="A891" s="3" t="s">
        <v>296</v>
      </c>
      <c r="B891" s="3" t="s">
        <v>296</v>
      </c>
      <c r="C891" s="55">
        <v>2130</v>
      </c>
      <c r="D891" s="79">
        <v>58.996699999999997</v>
      </c>
      <c r="E891" s="79">
        <v>11.1272</v>
      </c>
      <c r="F891" s="14">
        <v>8195</v>
      </c>
      <c r="G891" s="10">
        <v>0</v>
      </c>
      <c r="H891" s="122">
        <v>6</v>
      </c>
      <c r="I891" s="165">
        <v>-0.61799999999999999</v>
      </c>
      <c r="J891" s="11">
        <v>0.59799999999999998</v>
      </c>
      <c r="K891" s="11">
        <v>-3.5000000000000003E-2</v>
      </c>
      <c r="L891" s="79">
        <v>0.1653</v>
      </c>
      <c r="M891" s="79">
        <v>1.6799999999999999E-2</v>
      </c>
      <c r="N891" s="79">
        <v>1.8200000000000001E-2</v>
      </c>
      <c r="O891" s="14">
        <v>180</v>
      </c>
      <c r="P891" s="14">
        <v>60</v>
      </c>
      <c r="Q891" s="11">
        <v>1E-3</v>
      </c>
      <c r="R891" s="14">
        <v>3</v>
      </c>
      <c r="S891" s="14">
        <v>1500</v>
      </c>
      <c r="T891" s="11">
        <v>0.1</v>
      </c>
      <c r="U891" s="122">
        <v>220571</v>
      </c>
      <c r="V891" s="35"/>
      <c r="W891" s="99">
        <f t="shared" si="1429"/>
        <v>2130</v>
      </c>
      <c r="X891" s="100">
        <f t="shared" si="1430"/>
        <v>58.996699999999997</v>
      </c>
      <c r="Y891" s="100">
        <f t="shared" si="1431"/>
        <v>11.1272</v>
      </c>
      <c r="Z891" s="22">
        <f t="shared" si="1432"/>
        <v>8195</v>
      </c>
      <c r="AA891" s="35">
        <f t="shared" si="1433"/>
        <v>0</v>
      </c>
      <c r="AB891" s="22">
        <f t="shared" si="1428"/>
        <v>6</v>
      </c>
      <c r="AC891" s="137">
        <f>ROUND(I891+mwreg!$G$94/100,3)</f>
        <v>-0.67</v>
      </c>
      <c r="AD891" s="134">
        <f>ROUND(J891+mwreg!$G$94/100,3)</f>
        <v>0.54600000000000004</v>
      </c>
      <c r="AE891" s="134">
        <f>ROUND(K891+mwreg!$G$94/100,3)</f>
        <v>-8.6999999999999994E-2</v>
      </c>
      <c r="AF891" s="132">
        <f t="shared" si="1501"/>
        <v>0.1653</v>
      </c>
      <c r="AG891" s="164">
        <f t="shared" si="1487"/>
        <v>1.6799999999999999E-2</v>
      </c>
      <c r="AH891" s="164">
        <f t="shared" si="1488"/>
        <v>1.8200000000000001E-2</v>
      </c>
      <c r="AI891" s="135">
        <f t="shared" si="1489"/>
        <v>180</v>
      </c>
      <c r="AJ891" s="135">
        <f t="shared" si="1490"/>
        <v>60</v>
      </c>
      <c r="AK891" s="134">
        <f t="shared" si="1491"/>
        <v>1E-3</v>
      </c>
      <c r="AL891" s="135">
        <f t="shared" si="1492"/>
        <v>3</v>
      </c>
      <c r="AM891" s="135">
        <f t="shared" si="1493"/>
        <v>1500</v>
      </c>
      <c r="AN891" s="134">
        <f t="shared" si="1494"/>
        <v>0.1</v>
      </c>
      <c r="AO891" s="187">
        <f t="shared" si="1502"/>
        <v>220571</v>
      </c>
    </row>
    <row r="892" spans="1:41" x14ac:dyDescent="0.2">
      <c r="A892" s="3" t="s">
        <v>296</v>
      </c>
      <c r="B892" s="3" t="s">
        <v>296</v>
      </c>
      <c r="C892" s="55">
        <v>2130</v>
      </c>
      <c r="D892" s="79">
        <v>58.996699999999997</v>
      </c>
      <c r="E892" s="79">
        <v>11.1272</v>
      </c>
      <c r="F892" s="14">
        <v>8195</v>
      </c>
      <c r="G892" s="10">
        <v>0</v>
      </c>
      <c r="H892" s="122">
        <v>7</v>
      </c>
      <c r="I892" s="165">
        <v>-0.51800000000000002</v>
      </c>
      <c r="J892" s="11">
        <v>0.81399999999999995</v>
      </c>
      <c r="K892" s="11">
        <v>2.5000000000000001E-2</v>
      </c>
      <c r="L892" s="79">
        <v>0.16439999999999999</v>
      </c>
      <c r="M892" s="79">
        <v>2.8199999999999999E-2</v>
      </c>
      <c r="N892" s="79">
        <v>2.9700000000000001E-2</v>
      </c>
      <c r="O892" s="14">
        <v>180</v>
      </c>
      <c r="P892" s="14">
        <v>60</v>
      </c>
      <c r="Q892" s="11">
        <v>1E-3</v>
      </c>
      <c r="R892" s="14">
        <v>3</v>
      </c>
      <c r="S892" s="14">
        <v>1500</v>
      </c>
      <c r="T892" s="11">
        <v>0.1</v>
      </c>
      <c r="U892" s="122">
        <v>230664</v>
      </c>
      <c r="V892" s="35"/>
      <c r="W892" s="99">
        <f t="shared" si="1429"/>
        <v>2130</v>
      </c>
      <c r="X892" s="100">
        <f t="shared" si="1430"/>
        <v>58.996699999999997</v>
      </c>
      <c r="Y892" s="100">
        <f t="shared" si="1431"/>
        <v>11.1272</v>
      </c>
      <c r="Z892" s="22">
        <f t="shared" si="1432"/>
        <v>8195</v>
      </c>
      <c r="AA892" s="35">
        <f t="shared" si="1433"/>
        <v>0</v>
      </c>
      <c r="AB892" s="22">
        <f t="shared" si="1428"/>
        <v>7</v>
      </c>
      <c r="AC892" s="137">
        <f>ROUND(I892+mwreg!$G$94/100,3)</f>
        <v>-0.56999999999999995</v>
      </c>
      <c r="AD892" s="134">
        <f>ROUND(J892+mwreg!$G$94/100,3)</f>
        <v>0.76200000000000001</v>
      </c>
      <c r="AE892" s="134">
        <f>ROUND(K892+mwreg!$G$94/100,3)</f>
        <v>-2.7E-2</v>
      </c>
      <c r="AF892" s="132">
        <f t="shared" si="1501"/>
        <v>0.16439999999999999</v>
      </c>
      <c r="AG892" s="164">
        <f t="shared" si="1487"/>
        <v>2.8199999999999999E-2</v>
      </c>
      <c r="AH892" s="164">
        <f t="shared" si="1488"/>
        <v>2.9700000000000001E-2</v>
      </c>
      <c r="AI892" s="135">
        <f t="shared" si="1489"/>
        <v>180</v>
      </c>
      <c r="AJ892" s="135">
        <f t="shared" si="1490"/>
        <v>60</v>
      </c>
      <c r="AK892" s="134">
        <f t="shared" si="1491"/>
        <v>1E-3</v>
      </c>
      <c r="AL892" s="135">
        <f t="shared" si="1492"/>
        <v>3</v>
      </c>
      <c r="AM892" s="135">
        <f t="shared" si="1493"/>
        <v>1500</v>
      </c>
      <c r="AN892" s="134">
        <f t="shared" si="1494"/>
        <v>0.1</v>
      </c>
      <c r="AO892" s="187">
        <f t="shared" si="1502"/>
        <v>230664</v>
      </c>
    </row>
    <row r="893" spans="1:41" x14ac:dyDescent="0.2">
      <c r="A893" s="3" t="s">
        <v>296</v>
      </c>
      <c r="B893" s="3" t="s">
        <v>296</v>
      </c>
      <c r="C893" s="55">
        <v>2130</v>
      </c>
      <c r="D893" s="79">
        <v>58.996699999999997</v>
      </c>
      <c r="E893" s="79">
        <v>11.1272</v>
      </c>
      <c r="F893" s="14">
        <v>8195</v>
      </c>
      <c r="G893" s="10">
        <v>0</v>
      </c>
      <c r="H893" s="122">
        <v>8</v>
      </c>
      <c r="I893" s="165">
        <v>-0.49199999999999999</v>
      </c>
      <c r="J893" s="11">
        <v>0.97499999999999998</v>
      </c>
      <c r="K893" s="11">
        <v>5.6000000000000001E-2</v>
      </c>
      <c r="L893" s="79">
        <v>0.16400000000000001</v>
      </c>
      <c r="M893" s="79">
        <v>2.5399999999999999E-2</v>
      </c>
      <c r="N893" s="79">
        <v>2.7099999999999999E-2</v>
      </c>
      <c r="O893" s="14">
        <v>180</v>
      </c>
      <c r="P893" s="14">
        <v>60</v>
      </c>
      <c r="Q893" s="11">
        <v>1E-3</v>
      </c>
      <c r="R893" s="14">
        <v>3</v>
      </c>
      <c r="S893" s="14">
        <v>1500</v>
      </c>
      <c r="T893" s="11">
        <v>0.1</v>
      </c>
      <c r="U893" s="122">
        <v>234504</v>
      </c>
      <c r="V893" s="35"/>
      <c r="W893" s="99">
        <f t="shared" si="1429"/>
        <v>2130</v>
      </c>
      <c r="X893" s="100">
        <f t="shared" si="1430"/>
        <v>58.996699999999997</v>
      </c>
      <c r="Y893" s="100">
        <f t="shared" si="1431"/>
        <v>11.1272</v>
      </c>
      <c r="Z893" s="22">
        <f t="shared" si="1432"/>
        <v>8195</v>
      </c>
      <c r="AA893" s="35">
        <f t="shared" si="1433"/>
        <v>0</v>
      </c>
      <c r="AB893" s="22">
        <f t="shared" si="1428"/>
        <v>8</v>
      </c>
      <c r="AC893" s="137">
        <f>ROUND(I893+mwreg!$G$94/100,3)</f>
        <v>-0.54400000000000004</v>
      </c>
      <c r="AD893" s="134">
        <f>ROUND(J893+mwreg!$G$94/100,3)</f>
        <v>0.92300000000000004</v>
      </c>
      <c r="AE893" s="134">
        <f>ROUND(K893+mwreg!$G$94/100,3)</f>
        <v>4.0000000000000001E-3</v>
      </c>
      <c r="AF893" s="132">
        <f t="shared" si="1501"/>
        <v>0.16400000000000001</v>
      </c>
      <c r="AG893" s="164">
        <f t="shared" si="1487"/>
        <v>2.5399999999999999E-2</v>
      </c>
      <c r="AH893" s="164">
        <f t="shared" si="1488"/>
        <v>2.7099999999999999E-2</v>
      </c>
      <c r="AI893" s="135">
        <f t="shared" si="1489"/>
        <v>180</v>
      </c>
      <c r="AJ893" s="135">
        <f t="shared" si="1490"/>
        <v>60</v>
      </c>
      <c r="AK893" s="134">
        <f t="shared" si="1491"/>
        <v>1E-3</v>
      </c>
      <c r="AL893" s="135">
        <f t="shared" si="1492"/>
        <v>3</v>
      </c>
      <c r="AM893" s="135">
        <f t="shared" si="1493"/>
        <v>1500</v>
      </c>
      <c r="AN893" s="134">
        <f t="shared" si="1494"/>
        <v>0.1</v>
      </c>
      <c r="AO893" s="187">
        <f t="shared" si="1502"/>
        <v>234504</v>
      </c>
    </row>
    <row r="894" spans="1:41" x14ac:dyDescent="0.2">
      <c r="A894" s="3" t="s">
        <v>296</v>
      </c>
      <c r="B894" s="3" t="s">
        <v>296</v>
      </c>
      <c r="C894" s="55">
        <v>2130</v>
      </c>
      <c r="D894" s="79">
        <v>58.996699999999997</v>
      </c>
      <c r="E894" s="79">
        <v>11.1272</v>
      </c>
      <c r="F894" s="14">
        <v>8195</v>
      </c>
      <c r="G894" s="10">
        <v>0</v>
      </c>
      <c r="H894" s="122">
        <v>9</v>
      </c>
      <c r="I894" s="165">
        <v>-0.70599999999999996</v>
      </c>
      <c r="J894" s="11">
        <v>1.0609999999999999</v>
      </c>
      <c r="K894" s="11">
        <v>9.2999999999999999E-2</v>
      </c>
      <c r="L894" s="79">
        <v>0.22040000000000001</v>
      </c>
      <c r="M894" s="79">
        <v>2.01E-2</v>
      </c>
      <c r="N894" s="79">
        <v>2.1999999999999999E-2</v>
      </c>
      <c r="O894" s="14">
        <v>180</v>
      </c>
      <c r="P894" s="14">
        <v>60</v>
      </c>
      <c r="Q894" s="11">
        <v>1E-3</v>
      </c>
      <c r="R894" s="14">
        <v>3</v>
      </c>
      <c r="S894" s="14">
        <v>1500</v>
      </c>
      <c r="T894" s="11">
        <v>0.1</v>
      </c>
      <c r="U894" s="122">
        <v>229446</v>
      </c>
      <c r="V894" s="35"/>
      <c r="W894" s="99">
        <f t="shared" si="1429"/>
        <v>2130</v>
      </c>
      <c r="X894" s="100">
        <f t="shared" si="1430"/>
        <v>58.996699999999997</v>
      </c>
      <c r="Y894" s="100">
        <f t="shared" si="1431"/>
        <v>11.1272</v>
      </c>
      <c r="Z894" s="22">
        <f t="shared" si="1432"/>
        <v>8195</v>
      </c>
      <c r="AA894" s="35">
        <f t="shared" si="1433"/>
        <v>0</v>
      </c>
      <c r="AB894" s="22">
        <f t="shared" si="1428"/>
        <v>9</v>
      </c>
      <c r="AC894" s="137">
        <f>ROUND(I894+mwreg!$G$94/100,3)</f>
        <v>-0.75800000000000001</v>
      </c>
      <c r="AD894" s="134">
        <f>ROUND(J894+mwreg!$G$94/100,3)</f>
        <v>1.0089999999999999</v>
      </c>
      <c r="AE894" s="134">
        <f>ROUND(K894+mwreg!$G$94/100,3)</f>
        <v>4.1000000000000002E-2</v>
      </c>
      <c r="AF894" s="132">
        <f t="shared" si="1501"/>
        <v>0.22040000000000001</v>
      </c>
      <c r="AG894" s="164">
        <f t="shared" si="1487"/>
        <v>2.01E-2</v>
      </c>
      <c r="AH894" s="164">
        <f t="shared" si="1488"/>
        <v>2.1999999999999999E-2</v>
      </c>
      <c r="AI894" s="135">
        <f t="shared" si="1489"/>
        <v>180</v>
      </c>
      <c r="AJ894" s="135">
        <f t="shared" si="1490"/>
        <v>60</v>
      </c>
      <c r="AK894" s="134">
        <f t="shared" si="1491"/>
        <v>1E-3</v>
      </c>
      <c r="AL894" s="135">
        <f t="shared" si="1492"/>
        <v>3</v>
      </c>
      <c r="AM894" s="135">
        <f t="shared" si="1493"/>
        <v>1500</v>
      </c>
      <c r="AN894" s="134">
        <f t="shared" si="1494"/>
        <v>0.1</v>
      </c>
      <c r="AO894" s="187">
        <f t="shared" si="1502"/>
        <v>229446</v>
      </c>
    </row>
    <row r="895" spans="1:41" x14ac:dyDescent="0.2">
      <c r="A895" s="3" t="s">
        <v>296</v>
      </c>
      <c r="B895" s="3" t="s">
        <v>296</v>
      </c>
      <c r="C895" s="55">
        <v>2130</v>
      </c>
      <c r="D895" s="79">
        <v>58.996699999999997</v>
      </c>
      <c r="E895" s="79">
        <v>11.1272</v>
      </c>
      <c r="F895" s="14">
        <v>8195</v>
      </c>
      <c r="G895" s="10">
        <v>0</v>
      </c>
      <c r="H895" s="122">
        <v>10</v>
      </c>
      <c r="I895" s="165">
        <v>-0.745</v>
      </c>
      <c r="J895" s="11">
        <v>1.472</v>
      </c>
      <c r="K895" s="11">
        <v>6.7000000000000004E-2</v>
      </c>
      <c r="L895" s="79">
        <v>0.2319</v>
      </c>
      <c r="M895" s="79">
        <v>3.6700000000000003E-2</v>
      </c>
      <c r="N895" s="79">
        <v>3.8600000000000002E-2</v>
      </c>
      <c r="O895" s="14">
        <v>180</v>
      </c>
      <c r="P895" s="14">
        <v>60</v>
      </c>
      <c r="Q895" s="11">
        <v>1E-3</v>
      </c>
      <c r="R895" s="14">
        <v>3</v>
      </c>
      <c r="S895" s="14">
        <v>1500</v>
      </c>
      <c r="T895" s="11">
        <v>0.1</v>
      </c>
      <c r="U895" s="122">
        <v>236798</v>
      </c>
      <c r="V895" s="35"/>
      <c r="W895" s="99">
        <f t="shared" si="1429"/>
        <v>2130</v>
      </c>
      <c r="X895" s="100">
        <f t="shared" si="1430"/>
        <v>58.996699999999997</v>
      </c>
      <c r="Y895" s="100">
        <f t="shared" si="1431"/>
        <v>11.1272</v>
      </c>
      <c r="Z895" s="22">
        <f t="shared" si="1432"/>
        <v>8195</v>
      </c>
      <c r="AA895" s="35">
        <f t="shared" si="1433"/>
        <v>0</v>
      </c>
      <c r="AB895" s="22">
        <f t="shared" si="1428"/>
        <v>10</v>
      </c>
      <c r="AC895" s="137">
        <f>ROUND(I895+mwreg!$G$94/100,3)</f>
        <v>-0.79700000000000004</v>
      </c>
      <c r="AD895" s="134">
        <f>ROUND(J895+mwreg!$G$94/100,3)</f>
        <v>1.42</v>
      </c>
      <c r="AE895" s="134">
        <f>ROUND(K895+mwreg!$G$94/100,3)</f>
        <v>1.4999999999999999E-2</v>
      </c>
      <c r="AF895" s="132">
        <f t="shared" si="1501"/>
        <v>0.2319</v>
      </c>
      <c r="AG895" s="164">
        <f t="shared" si="1487"/>
        <v>3.6700000000000003E-2</v>
      </c>
      <c r="AH895" s="164">
        <f t="shared" si="1488"/>
        <v>3.8600000000000002E-2</v>
      </c>
      <c r="AI895" s="135">
        <f t="shared" si="1489"/>
        <v>180</v>
      </c>
      <c r="AJ895" s="135">
        <f t="shared" si="1490"/>
        <v>60</v>
      </c>
      <c r="AK895" s="134">
        <f t="shared" si="1491"/>
        <v>1E-3</v>
      </c>
      <c r="AL895" s="135">
        <f t="shared" si="1492"/>
        <v>3</v>
      </c>
      <c r="AM895" s="135">
        <f t="shared" si="1493"/>
        <v>1500</v>
      </c>
      <c r="AN895" s="134">
        <f t="shared" si="1494"/>
        <v>0.1</v>
      </c>
      <c r="AO895" s="187">
        <f t="shared" si="1502"/>
        <v>236798</v>
      </c>
    </row>
    <row r="896" spans="1:41" x14ac:dyDescent="0.2">
      <c r="A896" s="3" t="s">
        <v>296</v>
      </c>
      <c r="B896" s="3" t="s">
        <v>296</v>
      </c>
      <c r="C896" s="55">
        <v>2130</v>
      </c>
      <c r="D896" s="79">
        <v>58.996699999999997</v>
      </c>
      <c r="E896" s="79">
        <v>11.1272</v>
      </c>
      <c r="F896" s="14">
        <v>8195</v>
      </c>
      <c r="G896" s="10">
        <v>0</v>
      </c>
      <c r="H896" s="122">
        <v>11</v>
      </c>
      <c r="I896" s="165">
        <v>-0.84</v>
      </c>
      <c r="J896" s="11">
        <v>1.268</v>
      </c>
      <c r="K896" s="11">
        <v>5.8000000000000003E-2</v>
      </c>
      <c r="L896" s="79">
        <v>0.26319999999999999</v>
      </c>
      <c r="M896" s="79">
        <v>0.39</v>
      </c>
      <c r="N896" s="79">
        <v>0.39300000000000002</v>
      </c>
      <c r="O896" s="14">
        <v>180</v>
      </c>
      <c r="P896" s="14">
        <v>60</v>
      </c>
      <c r="Q896" s="11">
        <v>1E-3</v>
      </c>
      <c r="R896" s="14">
        <v>3</v>
      </c>
      <c r="S896" s="14">
        <v>1500</v>
      </c>
      <c r="T896" s="11">
        <v>0.1</v>
      </c>
      <c r="U896" s="122">
        <v>227408</v>
      </c>
      <c r="V896" s="35"/>
      <c r="W896" s="99">
        <f t="shared" si="1429"/>
        <v>2130</v>
      </c>
      <c r="X896" s="100">
        <f t="shared" si="1430"/>
        <v>58.996699999999997</v>
      </c>
      <c r="Y896" s="100">
        <f t="shared" si="1431"/>
        <v>11.1272</v>
      </c>
      <c r="Z896" s="22">
        <f t="shared" si="1432"/>
        <v>8195</v>
      </c>
      <c r="AA896" s="35">
        <f t="shared" si="1433"/>
        <v>0</v>
      </c>
      <c r="AB896" s="22">
        <f t="shared" si="1428"/>
        <v>11</v>
      </c>
      <c r="AC896" s="137">
        <f>ROUND(I896+mwreg!$G$94/100,3)</f>
        <v>-0.89200000000000002</v>
      </c>
      <c r="AD896" s="134">
        <f>ROUND(J896+mwreg!$G$94/100,3)</f>
        <v>1.216</v>
      </c>
      <c r="AE896" s="134">
        <f>ROUND(K896+mwreg!$G$94/100,3)</f>
        <v>6.0000000000000001E-3</v>
      </c>
      <c r="AF896" s="132">
        <f t="shared" si="1501"/>
        <v>0.26319999999999999</v>
      </c>
      <c r="AG896" s="164">
        <f t="shared" si="1487"/>
        <v>0.39</v>
      </c>
      <c r="AH896" s="164">
        <f t="shared" si="1488"/>
        <v>0.39300000000000002</v>
      </c>
      <c r="AI896" s="135">
        <f t="shared" si="1489"/>
        <v>180</v>
      </c>
      <c r="AJ896" s="135">
        <f t="shared" si="1490"/>
        <v>60</v>
      </c>
      <c r="AK896" s="134">
        <f t="shared" si="1491"/>
        <v>1E-3</v>
      </c>
      <c r="AL896" s="135">
        <f t="shared" si="1492"/>
        <v>3</v>
      </c>
      <c r="AM896" s="135">
        <f t="shared" si="1493"/>
        <v>1500</v>
      </c>
      <c r="AN896" s="134">
        <f t="shared" si="1494"/>
        <v>0.1</v>
      </c>
      <c r="AO896" s="187">
        <f t="shared" si="1502"/>
        <v>227408</v>
      </c>
    </row>
    <row r="897" spans="1:41" ht="12.75" thickBot="1" x14ac:dyDescent="0.25">
      <c r="A897" s="3" t="s">
        <v>296</v>
      </c>
      <c r="B897" s="3" t="s">
        <v>296</v>
      </c>
      <c r="C897" s="115">
        <v>2130</v>
      </c>
      <c r="D897" s="85">
        <v>58.996699999999997</v>
      </c>
      <c r="E897" s="85">
        <v>11.1272</v>
      </c>
      <c r="F897" s="57">
        <v>8195</v>
      </c>
      <c r="G897" s="56">
        <v>0</v>
      </c>
      <c r="H897" s="182">
        <v>12</v>
      </c>
      <c r="I897" s="169">
        <v>-0.82399999999999995</v>
      </c>
      <c r="J897" s="111">
        <v>1.4</v>
      </c>
      <c r="K897" s="111">
        <v>9.8000000000000004E-2</v>
      </c>
      <c r="L897" s="85">
        <v>0.28520000000000001</v>
      </c>
      <c r="M897" s="85">
        <v>6.93E-2</v>
      </c>
      <c r="N897" s="85">
        <v>7.17E-2</v>
      </c>
      <c r="O897" s="57">
        <v>180</v>
      </c>
      <c r="P897" s="57">
        <v>60</v>
      </c>
      <c r="Q897" s="111">
        <v>1E-3</v>
      </c>
      <c r="R897" s="57">
        <v>3</v>
      </c>
      <c r="S897" s="57">
        <v>1500</v>
      </c>
      <c r="T897" s="111">
        <v>0.1</v>
      </c>
      <c r="U897" s="182">
        <v>205030</v>
      </c>
      <c r="V897" s="35"/>
      <c r="W897" s="124">
        <f t="shared" si="1429"/>
        <v>2130</v>
      </c>
      <c r="X897" s="112">
        <f t="shared" si="1430"/>
        <v>58.996699999999997</v>
      </c>
      <c r="Y897" s="112">
        <f t="shared" si="1431"/>
        <v>11.1272</v>
      </c>
      <c r="Z897" s="113">
        <f t="shared" si="1432"/>
        <v>8195</v>
      </c>
      <c r="AA897" s="59">
        <f t="shared" si="1433"/>
        <v>0</v>
      </c>
      <c r="AB897" s="113">
        <f t="shared" si="1428"/>
        <v>12</v>
      </c>
      <c r="AC897" s="148">
        <f>ROUND(I897+mwreg!$G$94/100,3)</f>
        <v>-0.876</v>
      </c>
      <c r="AD897" s="146">
        <f>ROUND(J897+mwreg!$G$94/100,3)</f>
        <v>1.3480000000000001</v>
      </c>
      <c r="AE897" s="146">
        <f>ROUND(K897+mwreg!$G$94/100,3)</f>
        <v>4.5999999999999999E-2</v>
      </c>
      <c r="AF897" s="149">
        <f t="shared" si="1501"/>
        <v>0.28520000000000001</v>
      </c>
      <c r="AG897" s="193">
        <f t="shared" si="1487"/>
        <v>6.93E-2</v>
      </c>
      <c r="AH897" s="193">
        <f t="shared" si="1488"/>
        <v>7.17E-2</v>
      </c>
      <c r="AI897" s="147">
        <f t="shared" si="1489"/>
        <v>180</v>
      </c>
      <c r="AJ897" s="147">
        <f t="shared" si="1490"/>
        <v>60</v>
      </c>
      <c r="AK897" s="146">
        <f t="shared" si="1491"/>
        <v>1E-3</v>
      </c>
      <c r="AL897" s="147">
        <f t="shared" si="1492"/>
        <v>3</v>
      </c>
      <c r="AM897" s="147">
        <f t="shared" si="1493"/>
        <v>1500</v>
      </c>
      <c r="AN897" s="146">
        <f t="shared" si="1494"/>
        <v>0.1</v>
      </c>
      <c r="AO897" s="190">
        <f t="shared" si="1502"/>
        <v>205030</v>
      </c>
    </row>
    <row r="898" spans="1:41" x14ac:dyDescent="0.2">
      <c r="G898" s="10"/>
      <c r="AD898" s="35"/>
      <c r="AK898" s="106"/>
      <c r="AN898" s="106"/>
    </row>
    <row r="899" spans="1:41" x14ac:dyDescent="0.2">
      <c r="B899" s="3" t="s">
        <v>396</v>
      </c>
      <c r="G899" s="10"/>
      <c r="AD899" s="35"/>
      <c r="AK899" s="106"/>
      <c r="AN899" s="106"/>
    </row>
    <row r="900" spans="1:41" x14ac:dyDescent="0.2">
      <c r="G900" s="10"/>
      <c r="AD900" s="35"/>
      <c r="AK900" s="106"/>
      <c r="AN900" s="106"/>
    </row>
    <row r="901" spans="1:41" x14ac:dyDescent="0.2">
      <c r="B901" s="23" t="s">
        <v>265</v>
      </c>
      <c r="G901" s="10"/>
      <c r="AD901" s="35"/>
      <c r="AK901" s="106"/>
      <c r="AN901" s="106"/>
    </row>
    <row r="902" spans="1:41" s="10" customFormat="1" x14ac:dyDescent="0.2">
      <c r="A902" s="3"/>
      <c r="B902" s="26" t="s">
        <v>320</v>
      </c>
      <c r="C902" s="114" t="s">
        <v>319</v>
      </c>
      <c r="D902" s="100"/>
      <c r="E902" s="100"/>
      <c r="F902" s="22"/>
      <c r="H902" s="22"/>
      <c r="I902" s="106"/>
      <c r="J902" s="106"/>
      <c r="K902" s="106"/>
      <c r="L902" s="100"/>
      <c r="M902" s="79"/>
      <c r="N902" s="79"/>
      <c r="O902" s="14"/>
      <c r="P902" s="14"/>
      <c r="Q902" s="11"/>
      <c r="R902" s="14"/>
      <c r="S902" s="14"/>
      <c r="W902" s="14"/>
      <c r="X902" s="79"/>
      <c r="Y902" s="79"/>
      <c r="Z902" s="14"/>
      <c r="AB902" s="14"/>
      <c r="AD902" s="35"/>
      <c r="AE902" s="35"/>
      <c r="AF902" s="35"/>
      <c r="AG902" s="100"/>
      <c r="AH902" s="100"/>
      <c r="AI902" s="22"/>
      <c r="AJ902" s="22"/>
      <c r="AK902" s="106"/>
      <c r="AL902" s="22"/>
      <c r="AM902" s="22"/>
      <c r="AN902" s="106"/>
      <c r="AO902" s="22"/>
    </row>
    <row r="903" spans="1:41" s="10" customFormat="1" x14ac:dyDescent="0.2">
      <c r="A903" s="3"/>
      <c r="B903" s="26" t="s">
        <v>107</v>
      </c>
      <c r="C903" s="114" t="s">
        <v>299</v>
      </c>
      <c r="D903" s="100"/>
      <c r="E903" s="100"/>
      <c r="F903" s="22"/>
      <c r="H903" s="22"/>
      <c r="I903" s="106"/>
      <c r="J903" s="106"/>
      <c r="K903" s="106"/>
      <c r="L903" s="100"/>
      <c r="M903" s="79"/>
      <c r="N903" s="79"/>
      <c r="O903" s="14"/>
      <c r="P903" s="14"/>
      <c r="Q903" s="11"/>
      <c r="R903" s="14"/>
      <c r="S903" s="14"/>
      <c r="W903" s="14"/>
      <c r="X903" s="79"/>
      <c r="Y903" s="79"/>
      <c r="Z903" s="14"/>
      <c r="AB903" s="14"/>
      <c r="AD903" s="35"/>
      <c r="AE903" s="35"/>
      <c r="AF903" s="35"/>
      <c r="AG903" s="100"/>
      <c r="AH903" s="100"/>
      <c r="AI903" s="22"/>
      <c r="AJ903" s="22"/>
      <c r="AK903" s="106"/>
      <c r="AL903" s="22"/>
      <c r="AM903" s="22"/>
      <c r="AN903" s="106"/>
      <c r="AO903" s="22"/>
    </row>
    <row r="904" spans="1:41" s="10" customFormat="1" x14ac:dyDescent="0.2">
      <c r="A904" s="3"/>
      <c r="B904" s="26" t="s">
        <v>108</v>
      </c>
      <c r="C904" s="114" t="s">
        <v>300</v>
      </c>
      <c r="D904" s="100"/>
      <c r="E904" s="100"/>
      <c r="F904" s="22"/>
      <c r="H904" s="22"/>
      <c r="I904" s="106"/>
      <c r="J904" s="106"/>
      <c r="K904" s="106"/>
      <c r="L904" s="100"/>
      <c r="M904" s="79"/>
      <c r="N904" s="79"/>
      <c r="O904" s="14"/>
      <c r="P904" s="14"/>
      <c r="Q904" s="11"/>
      <c r="R904" s="14"/>
      <c r="S904" s="14"/>
      <c r="W904" s="14"/>
      <c r="X904" s="79"/>
      <c r="Y904" s="79"/>
      <c r="Z904" s="14"/>
      <c r="AB904" s="14"/>
      <c r="AD904" s="35"/>
      <c r="AE904" s="35"/>
      <c r="AF904" s="35"/>
      <c r="AG904" s="100"/>
      <c r="AH904" s="100"/>
      <c r="AI904" s="22"/>
      <c r="AJ904" s="22"/>
      <c r="AK904" s="106"/>
      <c r="AL904" s="22"/>
      <c r="AM904" s="22"/>
      <c r="AN904" s="106"/>
      <c r="AO904" s="22"/>
    </row>
    <row r="905" spans="1:41" s="10" customFormat="1" x14ac:dyDescent="0.2">
      <c r="A905" s="3"/>
      <c r="B905" s="26" t="s">
        <v>298</v>
      </c>
      <c r="C905" s="114" t="s">
        <v>301</v>
      </c>
      <c r="D905" s="100"/>
      <c r="E905" s="100"/>
      <c r="F905" s="22"/>
      <c r="H905" s="22"/>
      <c r="I905" s="106"/>
      <c r="J905" s="106"/>
      <c r="K905" s="106"/>
      <c r="L905" s="100"/>
      <c r="M905" s="79"/>
      <c r="N905" s="79"/>
      <c r="O905" s="14"/>
      <c r="P905" s="14"/>
      <c r="Q905" s="11"/>
      <c r="R905" s="14"/>
      <c r="S905" s="14"/>
      <c r="W905" s="14"/>
      <c r="X905" s="79"/>
      <c r="Y905" s="79"/>
      <c r="Z905" s="14"/>
      <c r="AB905" s="14"/>
      <c r="AD905" s="35"/>
      <c r="AE905" s="35"/>
      <c r="AF905" s="35"/>
      <c r="AG905" s="100"/>
      <c r="AH905" s="100"/>
      <c r="AI905" s="22"/>
      <c r="AJ905" s="22"/>
      <c r="AK905" s="106"/>
      <c r="AL905" s="22"/>
      <c r="AM905" s="22"/>
      <c r="AN905" s="106"/>
      <c r="AO905" s="22"/>
    </row>
    <row r="906" spans="1:41" s="10" customFormat="1" x14ac:dyDescent="0.2">
      <c r="A906" s="3"/>
      <c r="B906" s="26" t="s">
        <v>297</v>
      </c>
      <c r="C906" s="114" t="s">
        <v>302</v>
      </c>
      <c r="D906" s="100"/>
      <c r="E906" s="100"/>
      <c r="F906" s="22"/>
      <c r="H906" s="22"/>
      <c r="I906" s="106"/>
      <c r="J906" s="106"/>
      <c r="K906" s="106"/>
      <c r="L906" s="100"/>
      <c r="M906" s="79"/>
      <c r="N906" s="79"/>
      <c r="O906" s="14"/>
      <c r="P906" s="14"/>
      <c r="Q906" s="11"/>
      <c r="R906" s="14"/>
      <c r="S906" s="14"/>
      <c r="W906" s="14"/>
      <c r="X906" s="79"/>
      <c r="Y906" s="79"/>
      <c r="Z906" s="14"/>
      <c r="AB906" s="14"/>
      <c r="AD906" s="35"/>
      <c r="AE906" s="35"/>
      <c r="AF906" s="35"/>
      <c r="AG906" s="100"/>
      <c r="AH906" s="100"/>
      <c r="AI906" s="22"/>
      <c r="AJ906" s="22"/>
      <c r="AK906" s="106"/>
      <c r="AL906" s="22"/>
      <c r="AM906" s="22"/>
      <c r="AN906" s="106"/>
      <c r="AO906" s="22"/>
    </row>
    <row r="907" spans="1:41" s="10" customFormat="1" x14ac:dyDescent="0.2">
      <c r="A907" s="3"/>
      <c r="B907" s="26" t="s">
        <v>283</v>
      </c>
      <c r="C907" s="114" t="s">
        <v>303</v>
      </c>
      <c r="D907" s="100"/>
      <c r="E907" s="100"/>
      <c r="F907" s="22"/>
      <c r="H907" s="22"/>
      <c r="I907" s="106"/>
      <c r="J907" s="106"/>
      <c r="K907" s="106"/>
      <c r="L907" s="100"/>
      <c r="M907" s="79"/>
      <c r="N907" s="79"/>
      <c r="O907" s="14"/>
      <c r="P907" s="14"/>
      <c r="Q907" s="11"/>
      <c r="R907" s="14"/>
      <c r="S907" s="14"/>
      <c r="W907" s="14"/>
      <c r="X907" s="79"/>
      <c r="Y907" s="79"/>
      <c r="Z907" s="14"/>
      <c r="AB907" s="14"/>
      <c r="AD907" s="35"/>
      <c r="AE907" s="35"/>
      <c r="AF907" s="35"/>
      <c r="AG907" s="100"/>
      <c r="AH907" s="100"/>
      <c r="AI907" s="22"/>
      <c r="AJ907" s="22"/>
      <c r="AK907" s="106"/>
      <c r="AL907" s="22"/>
      <c r="AM907" s="22"/>
      <c r="AN907" s="106"/>
      <c r="AO907" s="22"/>
    </row>
    <row r="908" spans="1:41" s="10" customFormat="1" x14ac:dyDescent="0.2">
      <c r="A908" s="3"/>
      <c r="B908" s="26" t="s">
        <v>284</v>
      </c>
      <c r="C908" s="114" t="s">
        <v>308</v>
      </c>
      <c r="D908" s="100"/>
      <c r="E908" s="100"/>
      <c r="F908" s="22"/>
      <c r="H908" s="22"/>
      <c r="I908" s="106"/>
      <c r="J908" s="106"/>
      <c r="K908" s="106"/>
      <c r="L908" s="100"/>
      <c r="M908" s="79"/>
      <c r="N908" s="79"/>
      <c r="O908" s="14"/>
      <c r="P908" s="14"/>
      <c r="Q908" s="11"/>
      <c r="R908" s="14"/>
      <c r="S908" s="14"/>
      <c r="W908" s="14"/>
      <c r="X908" s="79"/>
      <c r="Y908" s="79"/>
      <c r="Z908" s="14"/>
      <c r="AB908" s="14"/>
      <c r="AD908" s="35"/>
      <c r="AE908" s="35"/>
      <c r="AF908" s="35"/>
      <c r="AG908" s="100"/>
      <c r="AH908" s="100"/>
      <c r="AI908" s="22"/>
      <c r="AJ908" s="22"/>
      <c r="AK908" s="106"/>
      <c r="AL908" s="22"/>
      <c r="AM908" s="22"/>
      <c r="AN908" s="106"/>
      <c r="AO908" s="22"/>
    </row>
    <row r="909" spans="1:41" x14ac:dyDescent="0.2">
      <c r="B909" s="3" t="s">
        <v>285</v>
      </c>
      <c r="C909" s="24" t="s">
        <v>307</v>
      </c>
    </row>
    <row r="910" spans="1:41" x14ac:dyDescent="0.2">
      <c r="B910" s="3" t="s">
        <v>286</v>
      </c>
      <c r="C910" s="24" t="s">
        <v>304</v>
      </c>
    </row>
    <row r="911" spans="1:41" x14ac:dyDescent="0.2">
      <c r="B911" s="3" t="s">
        <v>287</v>
      </c>
      <c r="C911" s="24" t="s">
        <v>306</v>
      </c>
    </row>
    <row r="912" spans="1:41" x14ac:dyDescent="0.2">
      <c r="B912" s="3" t="s">
        <v>288</v>
      </c>
      <c r="C912" s="24" t="s">
        <v>309</v>
      </c>
    </row>
    <row r="913" spans="1:41" x14ac:dyDescent="0.2">
      <c r="B913" s="3" t="s">
        <v>289</v>
      </c>
      <c r="C913" s="24" t="s">
        <v>310</v>
      </c>
    </row>
    <row r="914" spans="1:41" x14ac:dyDescent="0.2">
      <c r="B914" s="3" t="s">
        <v>290</v>
      </c>
      <c r="C914" s="24" t="s">
        <v>313</v>
      </c>
    </row>
    <row r="915" spans="1:41" x14ac:dyDescent="0.2">
      <c r="B915" s="3" t="s">
        <v>291</v>
      </c>
      <c r="C915" s="24" t="s">
        <v>314</v>
      </c>
    </row>
    <row r="916" spans="1:41" x14ac:dyDescent="0.2">
      <c r="B916" s="3" t="s">
        <v>292</v>
      </c>
      <c r="C916" s="24" t="s">
        <v>315</v>
      </c>
    </row>
    <row r="917" spans="1:41" x14ac:dyDescent="0.2">
      <c r="A917" s="5"/>
      <c r="B917" s="3" t="s">
        <v>293</v>
      </c>
      <c r="C917" s="24" t="s">
        <v>311</v>
      </c>
      <c r="D917" s="5"/>
      <c r="E917" s="5"/>
      <c r="F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</row>
    <row r="918" spans="1:41" x14ac:dyDescent="0.2">
      <c r="A918" s="5"/>
      <c r="B918" s="3" t="s">
        <v>305</v>
      </c>
      <c r="C918" s="24" t="s">
        <v>316</v>
      </c>
      <c r="D918" s="5"/>
      <c r="E918" s="5"/>
      <c r="F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</row>
    <row r="919" spans="1:41" x14ac:dyDescent="0.2">
      <c r="A919" s="5"/>
      <c r="B919" s="3" t="s">
        <v>321</v>
      </c>
      <c r="C919" s="24" t="s">
        <v>312</v>
      </c>
      <c r="D919" s="5"/>
      <c r="E919" s="5"/>
      <c r="F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</row>
    <row r="920" spans="1:41" x14ac:dyDescent="0.2">
      <c r="A920" s="5"/>
      <c r="B920" s="3" t="s">
        <v>294</v>
      </c>
      <c r="C920" s="24" t="s">
        <v>317</v>
      </c>
      <c r="D920" s="5"/>
      <c r="E920" s="5"/>
      <c r="F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</row>
    <row r="921" spans="1:41" x14ac:dyDescent="0.2">
      <c r="A921" s="5"/>
      <c r="B921" s="3" t="s">
        <v>295</v>
      </c>
      <c r="C921" s="24" t="s">
        <v>312</v>
      </c>
      <c r="D921" s="5"/>
      <c r="E921" s="5"/>
      <c r="F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</row>
  </sheetData>
  <mergeCells count="2">
    <mergeCell ref="C8:U8"/>
    <mergeCell ref="W8:AO8"/>
  </mergeCells>
  <pageMargins left="0.75" right="0.75" top="1" bottom="1" header="0.5" footer="0.5"/>
  <pageSetup paperSize="9" orientation="portrait" r:id="rId1"/>
  <headerFooter alignWithMargins="0"/>
  <ignoredErrors>
    <ignoredError sqref="AN322:AN333 AK322:AK345 Q70:Q81 L70:L81 L526 L610:L621 Q274:Q285 O322 L310:L321 AF874:AF897 Q298:Q333 Q250:Q261 Q22:Q33 Q46:Q57 Q94:Q117 Q130:Q153 Q166:Q201 Q346:Q357 Q382:Q393 O418 Q418:Q429 O442 Q442:Q465 Q478:Q489 Q526:Q549 O610:T621 L586:L597 O586:T597 L538:L573 O550:T573 O622 Q622:Q669 Q682:Q717 Q730:Q765 Q802:Q825 Q850:Q873 K790:K801 Q778:Q790 Q791:Q801 Q226:Q237 Q214 Q215:Q225 Q358:Q36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5</vt:i4>
      </vt:variant>
    </vt:vector>
  </HeadingPairs>
  <TitlesOfParts>
    <vt:vector size="5" baseType="lpstr">
      <vt:lpstr>stat_uppg</vt:lpstr>
      <vt:lpstr>mwreg</vt:lpstr>
      <vt:lpstr>mwreg_en</vt:lpstr>
      <vt:lpstr>mwreg_rh2000</vt:lpstr>
      <vt:lpstr>QC</vt:lpstr>
    </vt:vector>
  </TitlesOfParts>
  <Company>SMHI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Thomas.Hammarklint</dc:creator>
  <cp:lastModifiedBy>Johansson Johannes</cp:lastModifiedBy>
  <cp:lastPrinted>2020-12-16T14:39:20Z</cp:lastPrinted>
  <dcterms:created xsi:type="dcterms:W3CDTF">2004-03-24T16:41:20Z</dcterms:created>
  <dcterms:modified xsi:type="dcterms:W3CDTF">2021-03-30T06:48:25Z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M_Links_Updated">
    <vt:bool>true</vt:bool>
  </property>
</Properties>
</file>