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" documentId="13_ncr:1_{7CAA6A01-9035-400C-891C-C122500CEF5E}" xr6:coauthVersionLast="47" xr6:coauthVersionMax="47" xr10:uidLastSave="{E3FB1468-F0A0-4E51-B369-3E719CC8A7C0}"/>
  <bookViews>
    <workbookView xWindow="-28920" yWindow="720" windowWidth="29040" windowHeight="15720" tabRatio="693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42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H6" i="5" l="1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 s="1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I58" i="2" l="1"/>
  <c r="W117" i="18" l="1"/>
  <c r="W69" i="18"/>
  <c r="W41" i="18"/>
  <c r="K58" i="2"/>
  <c r="W68" i="18"/>
  <c r="W116" i="18"/>
  <c r="W40" i="18"/>
  <c r="W115" i="18"/>
  <c r="N58" i="2" l="1"/>
  <c r="I60" i="2"/>
  <c r="K60" i="2" s="1"/>
  <c r="N60" i="2" s="1"/>
  <c r="GC11" i="6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<sst xmlns="http://schemas.openxmlformats.org/spreadsheetml/2006/main" count="854" uniqueCount="502">
  <si>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</si>
  <si>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</si>
  <si>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</si>
  <si>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</si>
  <si>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</si>
  <si>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</si>
  <si>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</si>
  <si>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</si>
  <si>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</si>
  <si>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</si>
  <si>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</si>
  <si>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</si>
  <si>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</si>
  <si>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</si>
  <si>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</si>
  <si>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</si>
  <si>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</si>
  <si>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</si>
  <si>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</si>
  <si>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</si>
  <si>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</si>
  <si>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</si>
  <si>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</si>
  <si>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</si>
  <si>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</si>
  <si>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</si>
  <si>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</si>
  <si>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</si>
  <si>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</si>
  <si>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</si>
  <si>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</si>
  <si>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</si>
  <si>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</si>
  <si>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</si>
  <si>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</si>
  <si>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</si>
  <si>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</si>
  <si>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</si>
  <si>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</si>
  <si>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</si>
  <si>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</si>
  <si>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</si>
  <si>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</si>
  <si>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</si>
  <si>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</si>
  <si>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</si>
  <si>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</si>
  <si>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</si>
  <si>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</si>
  <si>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</si>
  <si>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</si>
  <si>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</si>
  <si>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</si>
  <si>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</si>
  <si>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</si>
  <si>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</si>
  <si>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</si>
  <si>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</si>
  <si>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</si>
  <si>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</si>
  <si>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</si>
  <si>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</si>
  <si>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</si>
  <si>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</si>
  <si>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</si>
  <si>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</si>
  <si>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</si>
  <si>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</si>
  <si>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</si>
  <si>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</si>
  <si>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</si>
  <si>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</si>
  <si>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</si>
  <si>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</si>
  <si>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</si>
  <si>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</si>
  <si>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</si>
  <si>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</si>
  <si>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</si>
  <si>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</si>
  <si>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</si>
  <si>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</si>
  <si>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</si>
  <si>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</si>
  <si>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</si>
  <si>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</si>
  <si>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</si>
  <si>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</si>
  <si>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</si>
  <si>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</si>
  <si>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</si>
  <si>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</si>
  <si>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</si>
  <si>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</si>
  <si>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</si>
  <si>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</si>
  <si>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</si>
  <si>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</si>
  <si>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</si>
  <si>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</si>
  <si>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</si>
  <si>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</si>
  <si>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</si>
  <si>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</si>
  <si>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</si>
  <si>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</si>
  <si>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</si>
  <si>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</si>
  <si>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</si>
  <si>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</si>
  <si>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</si>
  <si>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</si>
  <si>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</si>
  <si>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</si>
  <si>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</si>
  <si>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</si>
  <si>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</si>
  <si>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</si>
  <si>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</si>
  <si>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</si>
  <si>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</si>
  <si>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</si>
  <si>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</si>
  <si>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</si>
  <si>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</si>
  <si>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</si>
  <si>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</si>
  <si>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</si>
  <si>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</si>
  <si>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</si>
  <si>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</si>
  <si>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</si>
  <si>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</si>
  <si>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</si>
  <si>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</si>
  <si>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</si>
  <si>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</si>
  <si>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</si>
  <si>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</si>
  <si>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</si>
  <si>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</si>
  <si>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</si>
  <si>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</si>
  <si>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</si>
  <si>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</si>
  <si>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</si>
  <si>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</si>
  <si>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</si>
  <si>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</si>
  <si>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</si>
  <si>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</si>
  <si>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</si>
  <si>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</si>
  <si>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</si>
  <si>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</si>
  <si>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</si>
  <si>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</si>
  <si>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</si>
  <si>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</si>
  <si>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</si>
  <si>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</si>
  <si>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</si>
  <si>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</si>
  <si>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</si>
  <si>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</si>
  <si>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</si>
  <si>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</si>
  <si>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</si>
  <si>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</si>
  <si>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</si>
  <si>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</si>
  <si>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</si>
  <si>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</si>
  <si>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</si>
  <si>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</si>
  <si>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</si>
  <si>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</si>
  <si>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</si>
  <si>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</si>
  <si>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</si>
  <si>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</si>
  <si>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</si>
  <si>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</si>
  <si>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</si>
  <si>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</si>
  <si>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</si>
  <si>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</si>
  <si>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</si>
  <si>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</si>
  <si>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</si>
  <si>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</si>
  <si>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</si>
  <si>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</si>
  <si>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Has this been received?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</si>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</sst>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52" xfId="0" applyNumberFormat="1" applyFont="1" applyFill="1" applyBorder="1" applyAlignment="1" applyProtection="1">
      <alignment horizontal="center"/>
      <protection locked="0"/>
    </xf>
    <xf numFmtId="167" fontId="6" fillId="11" borderId="51" xfId="0" applyNumberFormat="1" applyFont="1" applyFill="1" applyBorder="1" applyAlignment="1" applyProtection="1">
      <alignment horizontal="center"/>
      <protection locked="0"/>
    </xf>
    <xf numFmtId="167" fontId="6" fillId="11" borderId="53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55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43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7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2" fillId="10" borderId="13" xfId="0" applyNumberFormat="1" applyFont="1" applyFill="1" applyBorder="1" applyAlignment="1" applyProtection="1">
      <alignment horizontal="center" vertical="center"/>
      <protection locked="0"/>
    </xf>
    <xf numFmtId="167" fontId="52" fillId="10" borderId="18" xfId="0" applyNumberFormat="1" applyFont="1" applyFill="1" applyBorder="1" applyAlignment="1" applyProtection="1">
      <alignment horizontal="center" vertical="center"/>
      <protection locked="0"/>
    </xf>
    <xf numFmtId="167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1719972.4442499999</c:v>
                </c:pt>
                <c:pt idx="52">
                  <c:v>1719972.4442499999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1775614.8767499998</c:v>
                </c:pt>
                <c:pt idx="56">
                  <c:v>1775614.8767499998</c:v>
                </c:pt>
                <c:pt idx="57">
                  <c:v>1822882.6092499997</c:v>
                </c:pt>
                <c:pt idx="58">
                  <c:v>1822882.6092499997</c:v>
                </c:pt>
                <c:pt idx="59">
                  <c:v>1822882.6092499997</c:v>
                </c:pt>
                <c:pt idx="60">
                  <c:v>1822882.6092499997</c:v>
                </c:pt>
                <c:pt idx="61">
                  <c:v>1822882.6092499997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-17628.74124999973</c:v>
                </c:pt>
                <c:pt idx="52">
                  <c:v>-17628.74124999973</c:v>
                </c:pt>
                <c:pt idx="53">
                  <c:v>16325.863250000402</c:v>
                </c:pt>
                <c:pt idx="54">
                  <c:v>16325.863250000402</c:v>
                </c:pt>
                <c:pt idx="55">
                  <c:v>16325.863250000402</c:v>
                </c:pt>
                <c:pt idx="56">
                  <c:v>16325.863250000402</c:v>
                </c:pt>
                <c:pt idx="57">
                  <c:v>-30941.869249999523</c:v>
                </c:pt>
                <c:pt idx="58">
                  <c:v>-30941.869249999523</c:v>
                </c:pt>
                <c:pt idx="59">
                  <c:v>-30941.869249999523</c:v>
                </c:pt>
                <c:pt idx="60">
                  <c:v>-30941.869249999523</c:v>
                </c:pt>
                <c:pt idx="61">
                  <c:v>-30941.869249999523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0517476852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3-01T00:00:00" count="16">
        <m/>
        <d v="2025-07-31T00:00:00"/>
        <s v=""/>
        <d v="2025-09-30T00:00:00"/>
        <d v="2025-08-31T00:00:00"/>
        <d v="2025-11-30T00:00:00"/>
        <d v="2026-02-28T00:00:00"/>
        <d v="2025-10-31T00:00:00"/>
        <d v="2026-01-31T00:00:00" u="1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31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 - VO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 - VO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29T00:00:00"/>
    <m/>
  </r>
  <r>
    <n v="4"/>
    <x v="4"/>
    <s v="End of Defects Period"/>
    <m/>
    <n v="0.05"/>
    <n v="17282.112499999999"/>
    <m/>
    <s v="Happy Solar INV-0331"/>
    <x v="4"/>
    <n v="6562.6238981230163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29T00:00:00"/>
    <m/>
  </r>
  <r>
    <n v="6"/>
    <x v="6"/>
    <s v="End of Defects Period"/>
    <m/>
    <n v="0.05"/>
    <n v="6151.3"/>
    <m/>
    <s v="Happy Solar INV-0331"/>
    <x v="4"/>
    <n v="9943.223271701766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29T00:00:00"/>
    <m/>
  </r>
  <r>
    <n v="9"/>
    <x v="9"/>
    <s v="End of Defects Period"/>
    <m/>
    <n v="0.05"/>
    <n v="15778.320000000002"/>
    <m/>
    <s v="Happy Solar INV-0331"/>
    <x v="4"/>
    <n v="8158.8235294117658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29T00:00:00"/>
    <m/>
  </r>
  <r>
    <n v="10"/>
    <x v="10"/>
    <s v="End of Defects Period"/>
    <m/>
    <n v="0.05"/>
    <n v="8056"/>
    <m/>
    <s v="Happy Solar INV-0331"/>
    <x v="4"/>
    <n v="4487.060784313725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30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3" t="s">
        <v>57</v>
      </c>
      <c r="E47" s="703"/>
      <c r="F47" s="704"/>
      <c r="G47" s="67"/>
      <c r="I47" s="68"/>
      <c r="J47" s="68"/>
    </row>
    <row r="48" spans="1:49" ht="14.45" thickBot="1">
      <c r="C48" s="69">
        <v>44014</v>
      </c>
      <c r="D48" s="705"/>
      <c r="E48" s="705"/>
      <c r="F48" s="70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07" t="s">
        <v>58</v>
      </c>
      <c r="C2" s="708"/>
      <c r="D2" s="708"/>
      <c r="E2" s="708"/>
      <c r="F2" s="70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07" t="s">
        <v>69</v>
      </c>
      <c r="C16" s="708"/>
      <c r="D16" s="708"/>
      <c r="E16" s="708"/>
      <c r="F16" s="70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zoomScale="85" zoomScaleNormal="85" workbookViewId="0">
      <selection activeCell="E8" sqref="E8:E9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39" style="24" bestFit="1" customWidth="1"/>
    <col min="4" max="4" width="3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1.5703125" style="112" bestFit="1" customWidth="1"/>
    <col min="10" max="10" width="12" style="113" bestFit="1" customWidth="1"/>
    <col min="11" max="11" width="11.5703125" style="112" bestFit="1" customWidth="1"/>
    <col min="12" max="12" width="2.42578125" style="112" customWidth="1"/>
    <col min="13" max="13" width="12.42578125" style="112" customWidth="1"/>
    <col min="14" max="14" width="11.5703125" style="112" bestFit="1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46076</v>
      </c>
      <c r="O1" s="404">
        <f ca="1">TODAY()</f>
        <v>46076</v>
      </c>
      <c r="Q1" s="3"/>
    </row>
    <row r="2" spans="2:28">
      <c r="B2" s="177"/>
      <c r="C2" s="178" t="s">
        <v>0</v>
      </c>
      <c r="D2" s="179"/>
      <c r="E2" s="710" t="s">
        <v>73</v>
      </c>
      <c r="F2" s="711"/>
      <c r="G2" s="711"/>
      <c r="H2" s="712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13" t="s">
        <v>76</v>
      </c>
      <c r="F4" s="714"/>
      <c r="G4" s="714"/>
      <c r="H4" s="715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13" t="s">
        <v>79</v>
      </c>
      <c r="F5" s="714"/>
      <c r="G5" s="714"/>
      <c r="H5" s="715"/>
      <c r="J5" s="113"/>
      <c r="Q5" s="3"/>
    </row>
    <row r="6" spans="2:28">
      <c r="B6" s="185"/>
      <c r="C6" s="186" t="s">
        <v>80</v>
      </c>
      <c r="D6" s="179"/>
      <c r="E6" s="716">
        <v>1791940.74</v>
      </c>
      <c r="F6" s="717"/>
      <c r="G6" s="717"/>
      <c r="H6" s="718"/>
    </row>
    <row r="7" spans="2:28" s="112" customFormat="1">
      <c r="B7" s="168"/>
      <c r="C7" s="689" t="s">
        <v>81</v>
      </c>
      <c r="D7" s="690"/>
      <c r="E7" s="691" t="s">
        <v>82</v>
      </c>
      <c r="F7" s="169"/>
      <c r="G7" s="187"/>
      <c r="J7" s="113"/>
      <c r="Q7" s="3"/>
    </row>
    <row r="8" spans="2:28" ht="30" customHeight="1">
      <c r="B8" s="722" t="s">
        <v>83</v>
      </c>
      <c r="C8" s="723" t="s">
        <v>84</v>
      </c>
      <c r="D8" s="216"/>
      <c r="E8" s="721" t="s">
        <v>85</v>
      </c>
      <c r="F8" s="238" t="s">
        <v>86</v>
      </c>
      <c r="G8" s="721" t="s">
        <v>87</v>
      </c>
      <c r="H8" s="239"/>
      <c r="I8" s="721" t="s">
        <v>88</v>
      </c>
      <c r="J8" s="238" t="s">
        <v>86</v>
      </c>
      <c r="K8" s="721" t="s">
        <v>89</v>
      </c>
      <c r="M8" s="411" t="s">
        <v>60</v>
      </c>
      <c r="N8" s="411" t="s">
        <v>60</v>
      </c>
      <c r="O8" s="719" t="s">
        <v>90</v>
      </c>
      <c r="Z8" s="112"/>
      <c r="AA8" s="112"/>
      <c r="AB8" s="112"/>
    </row>
    <row r="9" spans="2:28">
      <c r="B9" s="722"/>
      <c r="C9" s="723"/>
      <c r="D9" s="216"/>
      <c r="E9" s="721"/>
      <c r="F9" s="126">
        <f>G49-E19</f>
        <v>25</v>
      </c>
      <c r="G9" s="721"/>
      <c r="H9" s="239"/>
      <c r="I9" s="721"/>
      <c r="J9" s="127">
        <f>K49-I19</f>
        <v>99</v>
      </c>
      <c r="K9" s="721"/>
      <c r="M9" s="363">
        <f ca="1">AVERAGE(M11,M18,M21,M28,M39,M47,M54,M51)</f>
        <v>0.99431818181818188</v>
      </c>
      <c r="N9" s="363">
        <f ca="1">AVERAGE(N11,N18,N21,N28,N39,N47,N54,N51)</f>
        <v>1</v>
      </c>
      <c r="O9" s="72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91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92</v>
      </c>
      <c r="C12" s="250" t="s">
        <v>93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94</v>
      </c>
      <c r="C13" s="250" t="s">
        <v>95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96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97</v>
      </c>
      <c r="C15" s="250" t="s">
        <v>98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99</v>
      </c>
      <c r="C16" s="250" t="s">
        <v>100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101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102</v>
      </c>
      <c r="C19" s="250" t="s">
        <v>103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104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105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106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107</v>
      </c>
      <c r="C22" s="250" t="s">
        <v>108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109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110</v>
      </c>
      <c r="C23" s="250" t="s">
        <v>111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112</v>
      </c>
      <c r="C24" s="250" t="s">
        <v>113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114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115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116</v>
      </c>
      <c r="C26" s="250" t="s">
        <v>117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119</v>
      </c>
      <c r="C29" s="250" t="s">
        <v>120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121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122</v>
      </c>
      <c r="C31" s="250" t="s">
        <v>123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124</v>
      </c>
      <c r="C32" s="250" t="s">
        <v>125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126</v>
      </c>
      <c r="C33" s="250" t="s">
        <v>127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128</v>
      </c>
      <c r="C34" s="250" t="s">
        <v>129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130</v>
      </c>
      <c r="C35" s="250" t="s">
        <v>131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132</v>
      </c>
      <c r="C36" s="250" t="s">
        <v>133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45">
      <c r="B37" s="249" t="s">
        <v>134</v>
      </c>
      <c r="C37" s="244" t="s">
        <v>135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136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137</v>
      </c>
      <c r="C40" s="250" t="s">
        <v>138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139</v>
      </c>
      <c r="C41" s="250" t="s">
        <v>140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141</v>
      </c>
      <c r="C42" s="250" t="s">
        <v>142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143</v>
      </c>
      <c r="C43" s="250" t="s">
        <v>144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145</v>
      </c>
      <c r="C44" s="250" t="s">
        <v>146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147</v>
      </c>
      <c r="C45" s="250" t="s">
        <v>148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149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150</v>
      </c>
      <c r="C48" s="244" t="s">
        <v>149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151</v>
      </c>
      <c r="C49" s="244" t="s">
        <v>152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153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154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155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83</v>
      </c>
      <c r="K54" s="247">
        <f>MAX(K55:K60)</f>
        <v>46076</v>
      </c>
      <c r="L54" s="114"/>
      <c r="M54" s="362">
        <f>(J55*M55+J56*M56+J57*M57+J58*M58+J59*M59+J60*M60)/SUM(J55:J60)</f>
        <v>0.95454545454545459</v>
      </c>
      <c r="N54" s="362">
        <f ca="1">(K55*N55+K56*N56+K57*N57+K58*N58+K59*N59+K60*N60)/SUM(K55:K60)</f>
        <v>1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156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157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/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16</v>
      </c>
      <c r="K58" s="254">
        <f>WORKDAY.INTL(I58,J58,1,Data!$C$3:$C$14)</f>
        <v>46065</v>
      </c>
      <c r="M58" s="255">
        <v>1</v>
      </c>
      <c r="N58" s="255">
        <f t="shared" ca="1" si="8"/>
        <v>1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46069</v>
      </c>
      <c r="J59" s="252">
        <v>1</v>
      </c>
      <c r="K59" s="254">
        <f>WORKDAY.INTL(I59,J59,1,Data!$C$3:$C$14)</f>
        <v>46070</v>
      </c>
      <c r="M59" s="255">
        <v>1</v>
      </c>
      <c r="N59" s="255">
        <f t="shared" ca="1" si="8"/>
        <v>1</v>
      </c>
      <c r="O59" s="122" t="s">
        <v>161</v>
      </c>
      <c r="Y59" s="24"/>
    </row>
    <row r="60" spans="2:28">
      <c r="B60" s="249">
        <v>8.6</v>
      </c>
      <c r="C60" s="244" t="s">
        <v>162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46069</v>
      </c>
      <c r="J60" s="252">
        <v>5</v>
      </c>
      <c r="K60" s="254">
        <f>WORKDAY.INTL(I60,J60,1,Data!$C$3:$C$14)</f>
        <v>46076</v>
      </c>
      <c r="M60" s="255">
        <v>0.5</v>
      </c>
      <c r="N60" s="255">
        <f t="shared" ca="1" si="8"/>
        <v>1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C17" sqref="C17:D17"/>
    </sheetView>
  </sheetViews>
  <sheetFormatPr defaultColWidth="8.42578125" defaultRowHeight="14.45"/>
  <cols>
    <col min="1" max="1" width="5.42578125" style="93" customWidth="1"/>
    <col min="2" max="2" width="5.42578125" style="131" customWidth="1"/>
    <col min="3" max="4" width="23.42578125" style="129" customWidth="1"/>
    <col min="5" max="5" width="6.5703125" style="129" customWidth="1"/>
    <col min="6" max="6" width="17.5703125" style="129" bestFit="1" customWidth="1"/>
    <col min="7" max="7" width="11.5703125" style="129" bestFit="1" customWidth="1"/>
    <col min="8" max="8" width="15.42578125" style="129" customWidth="1"/>
    <col min="9" max="9" width="1.5703125" style="129" customWidth="1"/>
    <col min="10" max="10" width="3.42578125" style="93" customWidth="1"/>
    <col min="11" max="11" width="1.5703125" style="176" customWidth="1"/>
    <col min="12" max="12" width="29.42578125" style="93" customWidth="1"/>
    <col min="13" max="13" width="1.5703125" style="129" customWidth="1"/>
    <col min="14" max="14" width="29.42578125" style="129" customWidth="1"/>
    <col min="15" max="15" width="1.42578125" style="93" customWidth="1"/>
    <col min="16" max="16" width="17" style="129" customWidth="1"/>
    <col min="17" max="17" width="5.42578125" style="129" customWidth="1"/>
    <col min="18" max="18" width="112" style="129" bestFit="1" customWidth="1"/>
    <col min="19" max="19" width="4.42578125" style="129" customWidth="1"/>
    <col min="20" max="20" width="14.42578125" style="129" customWidth="1"/>
    <col min="21" max="21" width="10.425781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425781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95">
      <c r="B3" s="117"/>
      <c r="D3" s="125" t="s">
        <v>164</v>
      </c>
      <c r="F3" s="125" t="s">
        <v>165</v>
      </c>
      <c r="J3" s="142"/>
      <c r="L3" s="409" t="s">
        <v>166</v>
      </c>
      <c r="N3" s="409" t="s">
        <v>167</v>
      </c>
      <c r="S3" s="142"/>
    </row>
    <row r="4" spans="1:41" s="93" customFormat="1" ht="12.95">
      <c r="B4" s="353">
        <v>1</v>
      </c>
      <c r="C4" s="354" t="s">
        <v>168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169</v>
      </c>
      <c r="Q4" s="130"/>
      <c r="S4" s="142"/>
    </row>
    <row r="5" spans="1:41" s="93" customFormat="1" ht="15" customHeight="1">
      <c r="B5" s="353">
        <v>2</v>
      </c>
      <c r="C5" s="354" t="s">
        <v>170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701" t="s">
        <v>171</v>
      </c>
      <c r="H5" s="702" t="s">
        <v>172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173</v>
      </c>
      <c r="D6" s="355">
        <f>+D4-D5</f>
        <v>225815.47423369554</v>
      </c>
      <c r="E6" s="356"/>
      <c r="F6" s="355">
        <f>+F4-F5</f>
        <v>-26261.449249999598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174</v>
      </c>
      <c r="S6" s="142"/>
    </row>
    <row r="7" spans="1:41" s="93" customFormat="1" ht="15" customHeight="1" thickBot="1">
      <c r="B7" s="353">
        <v>4</v>
      </c>
      <c r="C7" s="354" t="s">
        <v>175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95">
      <c r="B10" s="128" t="s">
        <v>176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1">
      <c r="B12" s="132" t="s">
        <v>83</v>
      </c>
      <c r="C12" s="133" t="s">
        <v>177</v>
      </c>
      <c r="D12" s="134"/>
      <c r="E12" s="132" t="s">
        <v>178</v>
      </c>
      <c r="F12" s="132" t="s">
        <v>179</v>
      </c>
      <c r="H12" s="358" t="s">
        <v>180</v>
      </c>
      <c r="J12" s="142"/>
      <c r="L12" s="167" t="s">
        <v>181</v>
      </c>
      <c r="M12" s="135"/>
      <c r="N12" s="167" t="s">
        <v>182</v>
      </c>
      <c r="O12" s="129"/>
      <c r="P12" s="167" t="s">
        <v>183</v>
      </c>
      <c r="R12" s="378" t="s">
        <v>184</v>
      </c>
      <c r="S12" s="142"/>
    </row>
    <row r="13" spans="1:41" s="93" customFormat="1" ht="12.95">
      <c r="B13" s="353">
        <v>1</v>
      </c>
      <c r="C13" s="726" t="s">
        <v>185</v>
      </c>
      <c r="D13" s="727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186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2.6">
      <c r="B14" s="155">
        <v>2</v>
      </c>
      <c r="C14" s="726" t="s">
        <v>187</v>
      </c>
      <c r="D14" s="727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188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2.6">
      <c r="B15" s="353">
        <v>3</v>
      </c>
      <c r="C15" s="726" t="s">
        <v>189</v>
      </c>
      <c r="D15" s="727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190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2.6">
      <c r="B16" s="353">
        <v>4</v>
      </c>
      <c r="C16" s="724" t="s">
        <v>152</v>
      </c>
      <c r="D16" s="725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191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2.6">
      <c r="B17" s="353">
        <v>5</v>
      </c>
      <c r="C17" s="724" t="s">
        <v>54</v>
      </c>
      <c r="D17" s="725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192</v>
      </c>
      <c r="N17" s="686">
        <v>46044</v>
      </c>
      <c r="O17" s="129"/>
      <c r="P17" s="139">
        <v>46052</v>
      </c>
      <c r="R17" s="379" t="s">
        <v>193</v>
      </c>
      <c r="S17" s="142"/>
    </row>
    <row r="18" spans="2:19" s="93" customFormat="1" ht="12.6">
      <c r="B18" s="353">
        <v>6</v>
      </c>
      <c r="C18" s="724" t="s">
        <v>194</v>
      </c>
      <c r="D18" s="72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6">
      <c r="B19" s="353">
        <v>7</v>
      </c>
      <c r="C19" s="726" t="s">
        <v>194</v>
      </c>
      <c r="D19" s="72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195</v>
      </c>
      <c r="C23" s="146" t="s">
        <v>196</v>
      </c>
      <c r="D23" s="146"/>
      <c r="F23" s="147"/>
      <c r="H23" s="116"/>
    </row>
    <row r="24" spans="2:19" s="93" customFormat="1" ht="12.6">
      <c r="C24" s="148" t="s">
        <v>197</v>
      </c>
      <c r="D24" s="149"/>
      <c r="F24" s="150"/>
    </row>
    <row r="25" spans="2:19" s="93" customFormat="1" ht="12.6">
      <c r="C25" s="148" t="s">
        <v>198</v>
      </c>
      <c r="D25" s="149"/>
    </row>
    <row r="26" spans="2:19" s="93" customFormat="1" ht="12.6">
      <c r="C26" s="151" t="s">
        <v>199</v>
      </c>
      <c r="D26" s="152"/>
    </row>
    <row r="27" spans="2:19" s="93" customFormat="1" ht="12.6">
      <c r="C27" s="153" t="s">
        <v>200</v>
      </c>
      <c r="D27" s="149"/>
    </row>
    <row r="28" spans="2:19" s="93" customFormat="1" ht="12.6">
      <c r="B28" s="117"/>
      <c r="C28" s="153" t="s">
        <v>201</v>
      </c>
      <c r="D28" s="149"/>
    </row>
    <row r="29" spans="2:19" s="93" customFormat="1" ht="12.6">
      <c r="B29" s="117"/>
      <c r="C29" s="93" t="s">
        <v>202</v>
      </c>
    </row>
    <row r="30" spans="2:19" s="93" customFormat="1" ht="27.75" customHeight="1">
      <c r="B30" s="117"/>
      <c r="C30" s="154" t="s">
        <v>203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83</v>
      </c>
      <c r="C40" s="133" t="s">
        <v>177</v>
      </c>
      <c r="D40" s="134"/>
      <c r="E40" s="132" t="s">
        <v>178</v>
      </c>
      <c r="F40" s="132" t="s">
        <v>179</v>
      </c>
    </row>
    <row r="41" spans="2:6" s="93" customFormat="1" ht="12.75" hidden="1" customHeight="1">
      <c r="B41" s="155">
        <v>1</v>
      </c>
      <c r="C41" s="156" t="s">
        <v>204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187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189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205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206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207</v>
      </c>
      <c r="F2" s="83" t="s">
        <v>208</v>
      </c>
    </row>
    <row r="3" spans="3:8">
      <c r="C3" s="79">
        <v>45658</v>
      </c>
      <c r="D3" s="73" t="s">
        <v>209</v>
      </c>
      <c r="F3" s="81" t="s">
        <v>210</v>
      </c>
    </row>
    <row r="4" spans="3:8">
      <c r="C4" s="79">
        <v>45737</v>
      </c>
      <c r="D4" s="73" t="s">
        <v>211</v>
      </c>
      <c r="F4" s="81" t="s">
        <v>212</v>
      </c>
    </row>
    <row r="5" spans="3:8">
      <c r="C5" s="79">
        <v>45765</v>
      </c>
      <c r="D5" s="73" t="s">
        <v>213</v>
      </c>
      <c r="F5" s="81" t="s">
        <v>214</v>
      </c>
    </row>
    <row r="6" spans="3:8" ht="12.95" thickBot="1">
      <c r="C6" s="79">
        <v>45768</v>
      </c>
      <c r="D6" s="73" t="s">
        <v>215</v>
      </c>
      <c r="F6" s="82" t="s">
        <v>216</v>
      </c>
    </row>
    <row r="7" spans="3:8">
      <c r="C7" s="79">
        <v>45774</v>
      </c>
      <c r="D7" s="73" t="s">
        <v>217</v>
      </c>
    </row>
    <row r="8" spans="3:8">
      <c r="C8" s="79">
        <v>45765</v>
      </c>
      <c r="D8" s="73" t="s">
        <v>218</v>
      </c>
    </row>
    <row r="9" spans="3:8">
      <c r="C9" s="79">
        <v>45778</v>
      </c>
      <c r="D9" s="73" t="s">
        <v>219</v>
      </c>
    </row>
    <row r="10" spans="3:8">
      <c r="C10" s="79">
        <v>45824</v>
      </c>
      <c r="D10" s="73" t="s">
        <v>220</v>
      </c>
    </row>
    <row r="11" spans="3:8">
      <c r="C11" s="79">
        <v>45878</v>
      </c>
      <c r="D11" s="73" t="s">
        <v>221</v>
      </c>
    </row>
    <row r="12" spans="3:8">
      <c r="C12" s="79">
        <v>45924</v>
      </c>
      <c r="D12" s="73" t="s">
        <v>222</v>
      </c>
    </row>
    <row r="13" spans="3:8">
      <c r="C13" s="79">
        <v>46007</v>
      </c>
      <c r="D13" s="73" t="s">
        <v>223</v>
      </c>
      <c r="F13" s="85"/>
      <c r="H13" s="73" t="s">
        <v>224</v>
      </c>
    </row>
    <row r="14" spans="3:8">
      <c r="C14" s="79">
        <v>46016</v>
      </c>
      <c r="D14" s="73" t="s">
        <v>225</v>
      </c>
    </row>
    <row r="15" spans="3:8" ht="12.95" thickBot="1">
      <c r="C15" s="80">
        <v>46017</v>
      </c>
      <c r="D15" s="73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28"/>
      <c r="C4" s="728"/>
      <c r="D4" s="728"/>
      <c r="E4" s="413"/>
      <c r="F4" s="221" t="s">
        <v>164</v>
      </c>
      <c r="G4" s="216"/>
      <c r="H4" s="221" t="s">
        <v>165</v>
      </c>
      <c r="I4" s="216"/>
      <c r="J4" s="222" t="s">
        <v>228</v>
      </c>
      <c r="K4" s="112"/>
      <c r="L4" s="112"/>
    </row>
    <row r="5" spans="1:12" ht="14.45" thickBot="1">
      <c r="A5" s="216"/>
      <c r="B5" s="729" t="s">
        <v>229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83</v>
      </c>
      <c r="C7" s="227"/>
      <c r="D7" s="226" t="s">
        <v>230</v>
      </c>
      <c r="E7" s="227"/>
      <c r="F7" s="228" t="s">
        <v>231</v>
      </c>
      <c r="G7" s="229"/>
      <c r="H7" s="228" t="s">
        <v>232</v>
      </c>
      <c r="I7" s="229"/>
      <c r="J7" s="228" t="s">
        <v>233</v>
      </c>
      <c r="K7" s="173"/>
      <c r="L7" s="115" t="s">
        <v>234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M1" zoomScale="85" zoomScaleNormal="85" workbookViewId="0">
      <pane ySplit="4" topLeftCell="A38" activePane="bottomLeft" state="frozen"/>
      <selection pane="bottomLeft" activeCell="R17" sqref="R17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8" width="17.42578125" style="24" hidden="1" customWidth="1"/>
    <col min="9" max="9" width="22.42578125" style="351" hidden="1" customWidth="1"/>
    <col min="10" max="10" width="22.42578125" style="351" bestFit="1" customWidth="1"/>
    <col min="11" max="12" width="5.42578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9.42578125" style="112" bestFit="1" customWidth="1"/>
    <col min="19" max="19" width="32.42578125" style="112" bestFit="1" customWidth="1"/>
    <col min="20" max="21" width="17.42578125" style="544" customWidth="1"/>
    <col min="22" max="22" width="17.42578125" style="112" customWidth="1"/>
    <col min="23" max="23" width="17.42578125" style="544" customWidth="1"/>
    <col min="24" max="24" width="21.42578125" style="112" customWidth="1"/>
    <col min="25" max="25" width="29.425781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3" t="s">
        <v>236</v>
      </c>
      <c r="C2" s="784"/>
      <c r="D2" s="784"/>
      <c r="E2" s="784"/>
      <c r="F2" s="784"/>
      <c r="G2" s="784"/>
      <c r="H2" s="671"/>
      <c r="I2" s="259">
        <f>SUM(I6:I163)</f>
        <v>1566125.2657663045</v>
      </c>
      <c r="J2" s="259">
        <f>SUM(J6:J163)</f>
        <v>1791940.7415162672</v>
      </c>
      <c r="L2" s="785" t="s">
        <v>237</v>
      </c>
      <c r="M2" s="786"/>
      <c r="N2" s="786"/>
      <c r="O2" s="786"/>
      <c r="P2" s="786"/>
      <c r="Q2" s="786"/>
      <c r="R2" s="787" t="s">
        <v>238</v>
      </c>
      <c r="S2" s="788"/>
      <c r="T2" s="788"/>
      <c r="U2" s="788"/>
      <c r="V2" s="788"/>
      <c r="W2" s="789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.6" thickBot="1">
      <c r="A4" s="166"/>
      <c r="B4" s="260" t="s">
        <v>239</v>
      </c>
      <c r="C4" s="261" t="s">
        <v>240</v>
      </c>
      <c r="D4" s="261" t="s">
        <v>241</v>
      </c>
      <c r="E4" s="261" t="s">
        <v>242</v>
      </c>
      <c r="F4" s="465" t="s">
        <v>243</v>
      </c>
      <c r="G4" s="262" t="s">
        <v>244</v>
      </c>
      <c r="H4" s="640" t="s">
        <v>245</v>
      </c>
      <c r="I4" s="263" t="s">
        <v>246</v>
      </c>
      <c r="J4" s="263" t="str">
        <f>IF(J2-'Revenue Tracking'!D4&gt;=0, "Total Revenue", "ERROR on REV" )</f>
        <v>Total Revenue</v>
      </c>
      <c r="K4" s="166"/>
      <c r="L4" s="260" t="s">
        <v>239</v>
      </c>
      <c r="M4" s="261" t="s">
        <v>247</v>
      </c>
      <c r="N4" s="261" t="s">
        <v>241</v>
      </c>
      <c r="O4" s="261" t="s">
        <v>242</v>
      </c>
      <c r="P4" s="465" t="s">
        <v>243</v>
      </c>
      <c r="Q4" s="373" t="s">
        <v>248</v>
      </c>
      <c r="R4" s="615" t="s">
        <v>249</v>
      </c>
      <c r="S4" s="616" t="s">
        <v>181</v>
      </c>
      <c r="T4" s="640" t="s">
        <v>182</v>
      </c>
      <c r="U4" s="641" t="s">
        <v>250</v>
      </c>
      <c r="V4" s="373" t="s">
        <v>251</v>
      </c>
      <c r="W4" s="640" t="s">
        <v>245</v>
      </c>
      <c r="X4" s="480" t="s">
        <v>246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252</v>
      </c>
      <c r="D6" s="283" t="s">
        <v>253</v>
      </c>
      <c r="E6" s="284"/>
      <c r="F6" s="437"/>
      <c r="G6" s="391">
        <f>D164</f>
        <v>469263.17000000016</v>
      </c>
      <c r="H6" s="533">
        <v>45925</v>
      </c>
      <c r="I6" s="730">
        <f>SUM(G6:G11)</f>
        <v>469263.17000000016</v>
      </c>
      <c r="J6" s="730">
        <f>F164</f>
        <v>533253.60227272741</v>
      </c>
      <c r="K6" s="388"/>
      <c r="L6" s="282">
        <v>1</v>
      </c>
      <c r="M6" s="417" t="s">
        <v>254</v>
      </c>
      <c r="N6" s="283" t="s">
        <v>255</v>
      </c>
      <c r="O6" s="639">
        <v>282</v>
      </c>
      <c r="P6" s="437">
        <v>1150.5</v>
      </c>
      <c r="Q6" s="391">
        <f>O6*P6</f>
        <v>324441</v>
      </c>
      <c r="R6" s="581"/>
      <c r="S6" s="618" t="s">
        <v>256</v>
      </c>
      <c r="T6" s="647">
        <v>45869</v>
      </c>
      <c r="U6" s="655">
        <v>533253.60227272741</v>
      </c>
      <c r="V6" s="742">
        <f>J6-SUM(U6:U11)</f>
        <v>0</v>
      </c>
      <c r="W6" s="533">
        <v>45925</v>
      </c>
      <c r="X6" s="733">
        <f>SUM(Q6:Q11)</f>
        <v>324441</v>
      </c>
      <c r="Y6" s="482"/>
    </row>
    <row r="7" spans="1:76" ht="15" customHeight="1">
      <c r="B7" s="312">
        <v>1</v>
      </c>
      <c r="C7" s="418"/>
      <c r="D7" s="389" t="s">
        <v>257</v>
      </c>
      <c r="E7" s="390"/>
      <c r="F7" s="459"/>
      <c r="G7" s="316"/>
      <c r="H7" s="566"/>
      <c r="I7" s="731"/>
      <c r="J7" s="731"/>
      <c r="K7" s="289"/>
      <c r="L7" s="312">
        <v>1</v>
      </c>
      <c r="M7" s="314" t="s">
        <v>254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43"/>
      <c r="W7" s="566"/>
      <c r="X7" s="73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1"/>
      <c r="J8" s="731"/>
      <c r="K8" s="289"/>
      <c r="L8" s="312">
        <v>1</v>
      </c>
      <c r="M8" s="314" t="s">
        <v>254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43"/>
      <c r="W8" s="566"/>
      <c r="X8" s="73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1"/>
      <c r="J9" s="731"/>
      <c r="K9" s="289"/>
      <c r="L9" s="312">
        <v>1</v>
      </c>
      <c r="M9" s="314" t="s">
        <v>254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43"/>
      <c r="W9" s="567"/>
      <c r="X9" s="73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1"/>
      <c r="J10" s="731"/>
      <c r="K10" s="289"/>
      <c r="L10" s="312">
        <v>1</v>
      </c>
      <c r="M10" s="314" t="s">
        <v>254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43"/>
      <c r="W10" s="567"/>
      <c r="X10" s="734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2"/>
      <c r="J11" s="732"/>
      <c r="K11" s="290"/>
      <c r="L11" s="317">
        <v>1</v>
      </c>
      <c r="M11" s="419" t="s">
        <v>254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44"/>
      <c r="W11" s="568"/>
      <c r="X11" s="735"/>
      <c r="Y11" s="599" t="s">
        <v>258</v>
      </c>
      <c r="Z11" s="600" t="s">
        <v>259</v>
      </c>
    </row>
    <row r="12" spans="1:76" ht="14.4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260</v>
      </c>
      <c r="Z12" s="602">
        <f>G55</f>
        <v>262993.38260869565</v>
      </c>
    </row>
    <row r="13" spans="1:76" ht="14.25" customHeight="1">
      <c r="B13" s="294">
        <v>2</v>
      </c>
      <c r="C13" s="320" t="s">
        <v>261</v>
      </c>
      <c r="D13" s="320" t="s">
        <v>262</v>
      </c>
      <c r="E13" s="366"/>
      <c r="F13" s="457"/>
      <c r="G13" s="297">
        <f>D165</f>
        <v>140000</v>
      </c>
      <c r="H13" s="536">
        <f>H6</f>
        <v>45925</v>
      </c>
      <c r="I13" s="750">
        <f>SUM(G13:G21)</f>
        <v>140000</v>
      </c>
      <c r="J13" s="750">
        <f>F165</f>
        <v>159090.90909090909</v>
      </c>
      <c r="K13" s="298"/>
      <c r="L13" s="294">
        <v>2</v>
      </c>
      <c r="M13" s="420" t="s">
        <v>263</v>
      </c>
      <c r="N13" s="320" t="s">
        <v>264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256</v>
      </c>
      <c r="T13" s="648">
        <v>45869</v>
      </c>
      <c r="U13" s="656">
        <v>78238.497607066238</v>
      </c>
      <c r="V13" s="774">
        <f>J13-SUM(U13:U21)</f>
        <v>0</v>
      </c>
      <c r="W13" s="536">
        <f>W6</f>
        <v>45925</v>
      </c>
      <c r="X13" s="753">
        <f>SUM(Q13:Q21)</f>
        <v>137740.70000000001</v>
      </c>
      <c r="Y13" s="601" t="s">
        <v>265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51"/>
      <c r="J14" s="751"/>
      <c r="K14" s="302"/>
      <c r="L14" s="299">
        <v>2</v>
      </c>
      <c r="M14" s="426" t="s">
        <v>263</v>
      </c>
      <c r="N14" s="408" t="s">
        <v>266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267</v>
      </c>
      <c r="T14" s="653">
        <v>45869</v>
      </c>
      <c r="U14" s="656">
        <v>80852.41148384285</v>
      </c>
      <c r="V14" s="775"/>
      <c r="W14" s="654">
        <v>45869</v>
      </c>
      <c r="X14" s="754"/>
      <c r="Y14" s="601" t="s">
        <v>268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51"/>
      <c r="J15" s="751"/>
      <c r="K15" s="302"/>
      <c r="L15" s="299">
        <v>2</v>
      </c>
      <c r="M15" s="426" t="s">
        <v>263</v>
      </c>
      <c r="N15" s="408" t="s">
        <v>269</v>
      </c>
      <c r="O15" s="551"/>
      <c r="P15" s="453"/>
      <c r="Q15" s="477">
        <v>-43606.080000000002</v>
      </c>
      <c r="R15" s="587"/>
      <c r="S15" s="624" t="s">
        <v>270</v>
      </c>
      <c r="T15" s="670">
        <v>45930</v>
      </c>
      <c r="U15" s="656"/>
      <c r="V15" s="775"/>
      <c r="W15" s="669">
        <v>45926</v>
      </c>
      <c r="X15" s="75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51"/>
      <c r="J16" s="751"/>
      <c r="K16" s="302"/>
      <c r="L16" s="299">
        <v>2</v>
      </c>
      <c r="M16" s="426" t="s">
        <v>263</v>
      </c>
      <c r="N16" s="408" t="s">
        <v>271</v>
      </c>
      <c r="O16" s="551"/>
      <c r="P16" s="453"/>
      <c r="Q16" s="477">
        <v>-45062.94</v>
      </c>
      <c r="R16" s="587"/>
      <c r="S16" s="624" t="s">
        <v>272</v>
      </c>
      <c r="T16" s="653">
        <v>45900</v>
      </c>
      <c r="U16" s="656"/>
      <c r="V16" s="775"/>
      <c r="W16" s="654">
        <v>45900</v>
      </c>
      <c r="X16" s="75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51"/>
      <c r="J17" s="751"/>
      <c r="K17" s="302"/>
      <c r="L17" s="299">
        <v>2</v>
      </c>
      <c r="M17" s="426" t="s">
        <v>263</v>
      </c>
      <c r="N17" s="692" t="s">
        <v>273</v>
      </c>
      <c r="O17" s="551"/>
      <c r="P17" s="453"/>
      <c r="Q17" s="477"/>
      <c r="R17" s="587"/>
      <c r="S17" s="624"/>
      <c r="T17" s="522"/>
      <c r="U17" s="656">
        <v>0</v>
      </c>
      <c r="V17" s="775"/>
      <c r="W17" s="571"/>
      <c r="X17" s="754"/>
      <c r="Y17" s="601" t="s">
        <v>274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51"/>
      <c r="J18" s="751"/>
      <c r="K18" s="302"/>
      <c r="L18" s="299">
        <v>2</v>
      </c>
      <c r="M18" s="426" t="s">
        <v>263</v>
      </c>
      <c r="N18" s="408" t="s">
        <v>275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276</v>
      </c>
      <c r="T18" s="649">
        <v>45900</v>
      </c>
      <c r="U18" s="656">
        <v>0</v>
      </c>
      <c r="V18" s="775"/>
      <c r="W18" s="537">
        <v>45961</v>
      </c>
      <c r="X18" s="754"/>
      <c r="Y18" s="601" t="s">
        <v>277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51"/>
      <c r="J19" s="751"/>
      <c r="K19" s="302"/>
      <c r="L19" s="299">
        <v>2</v>
      </c>
      <c r="M19" s="426" t="s">
        <v>263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75"/>
      <c r="W19" s="571"/>
      <c r="X19" s="754"/>
      <c r="Y19" s="601" t="s">
        <v>278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51"/>
      <c r="J20" s="751"/>
      <c r="K20" s="302"/>
      <c r="L20" s="299">
        <v>2</v>
      </c>
      <c r="M20" s="426" t="s">
        <v>263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75"/>
      <c r="W20" s="571"/>
      <c r="X20" s="754"/>
      <c r="Y20" s="601" t="s">
        <v>279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52"/>
      <c r="J21" s="752"/>
      <c r="K21" s="307"/>
      <c r="L21" s="395">
        <v>2</v>
      </c>
      <c r="M21" s="421" t="s">
        <v>263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76"/>
      <c r="W21" s="572"/>
      <c r="X21" s="755"/>
      <c r="Y21" s="601" t="s">
        <v>280</v>
      </c>
      <c r="Z21" s="602">
        <v>0</v>
      </c>
    </row>
    <row r="22" spans="1:27" ht="14.45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281</v>
      </c>
      <c r="D23" s="328" t="s">
        <v>282</v>
      </c>
      <c r="E23" s="284"/>
      <c r="F23" s="437"/>
      <c r="G23" s="285">
        <f>D166</f>
        <v>66576</v>
      </c>
      <c r="H23" s="538">
        <f>H13</f>
        <v>45925</v>
      </c>
      <c r="I23" s="730">
        <f>SUM(G23:G28)</f>
        <v>66576</v>
      </c>
      <c r="J23" s="730">
        <f>F166</f>
        <v>75654.545454545456</v>
      </c>
      <c r="K23" s="286"/>
      <c r="L23" s="282">
        <v>3</v>
      </c>
      <c r="M23" s="422" t="s">
        <v>283</v>
      </c>
      <c r="N23" s="328" t="s">
        <v>284</v>
      </c>
      <c r="O23" s="545"/>
      <c r="P23" s="437"/>
      <c r="Q23" s="285">
        <v>154429.66</v>
      </c>
      <c r="R23" s="589" t="s">
        <v>285</v>
      </c>
      <c r="S23" s="626" t="s">
        <v>286</v>
      </c>
      <c r="T23" s="665">
        <v>45900</v>
      </c>
      <c r="U23" s="655">
        <v>75654.545454545456</v>
      </c>
      <c r="V23" s="742">
        <f>J23-SUM(U23:U28)</f>
        <v>0</v>
      </c>
      <c r="W23" s="538">
        <f>T23+30</f>
        <v>45930</v>
      </c>
      <c r="X23" s="733">
        <f>SUM(Q23:Q28)</f>
        <v>157679.66</v>
      </c>
      <c r="Y23" s="601" t="s">
        <v>287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1"/>
      <c r="J24" s="731"/>
      <c r="K24" s="289"/>
      <c r="L24" s="312">
        <v>3</v>
      </c>
      <c r="M24" s="423" t="s">
        <v>283</v>
      </c>
      <c r="N24" s="329" t="s">
        <v>288</v>
      </c>
      <c r="O24" s="546"/>
      <c r="P24" s="459"/>
      <c r="Q24" s="316">
        <v>3250</v>
      </c>
      <c r="R24" s="582" t="s">
        <v>289</v>
      </c>
      <c r="S24" s="619" t="s">
        <v>290</v>
      </c>
      <c r="T24" s="685">
        <v>45991</v>
      </c>
      <c r="U24" s="503">
        <v>0</v>
      </c>
      <c r="V24" s="743"/>
      <c r="W24" s="688">
        <v>46031</v>
      </c>
      <c r="X24" s="734"/>
      <c r="Y24" s="601" t="s">
        <v>206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1"/>
      <c r="J25" s="731"/>
      <c r="K25" s="289"/>
      <c r="L25" s="312">
        <v>3</v>
      </c>
      <c r="M25" s="423" t="s">
        <v>283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43"/>
      <c r="W25" s="566"/>
      <c r="X25" s="734"/>
      <c r="Y25" s="601" t="s">
        <v>291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1"/>
      <c r="J26" s="731"/>
      <c r="K26" s="289"/>
      <c r="L26" s="312">
        <v>3</v>
      </c>
      <c r="M26" s="423" t="s">
        <v>283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43"/>
      <c r="W26" s="567"/>
      <c r="X26" s="734"/>
      <c r="Y26" s="606" t="s">
        <v>292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1"/>
      <c r="J27" s="731"/>
      <c r="K27" s="289"/>
      <c r="L27" s="312">
        <v>3</v>
      </c>
      <c r="M27" s="423" t="s">
        <v>283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43"/>
      <c r="W27" s="567"/>
      <c r="X27" s="734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2"/>
      <c r="J28" s="732"/>
      <c r="K28" s="290"/>
      <c r="L28" s="317">
        <v>3</v>
      </c>
      <c r="M28" s="424" t="s">
        <v>283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44"/>
      <c r="W28" s="568"/>
      <c r="X28" s="735"/>
      <c r="Y28" s="607" t="s">
        <v>293</v>
      </c>
      <c r="Z28" s="608" t="s">
        <v>294</v>
      </c>
    </row>
    <row r="29" spans="1:27" ht="14.4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265</v>
      </c>
      <c r="D30" s="295" t="s">
        <v>295</v>
      </c>
      <c r="E30" s="366">
        <f>G30/14*1.15</f>
        <v>4312.5</v>
      </c>
      <c r="F30" s="457"/>
      <c r="G30" s="297">
        <v>52500</v>
      </c>
      <c r="H30" s="536">
        <v>45901</v>
      </c>
      <c r="I30" s="750">
        <f>SUM(G30:G44)</f>
        <v>151592.20000000001</v>
      </c>
      <c r="J30" s="750">
        <f>F167</f>
        <v>172263.86363636365</v>
      </c>
      <c r="K30" s="298"/>
      <c r="L30" s="294">
        <v>4</v>
      </c>
      <c r="M30" s="425" t="s">
        <v>296</v>
      </c>
      <c r="N30" s="295" t="s">
        <v>297</v>
      </c>
      <c r="O30" s="542">
        <v>4000</v>
      </c>
      <c r="P30" s="457">
        <v>14</v>
      </c>
      <c r="Q30" s="297">
        <v>54000</v>
      </c>
      <c r="R30" s="586"/>
      <c r="S30" s="623" t="s">
        <v>298</v>
      </c>
      <c r="T30" s="651">
        <v>45869</v>
      </c>
      <c r="U30" s="656">
        <v>60762.394402612517</v>
      </c>
      <c r="V30" s="774">
        <f>J30-SUM(U30:U44)</f>
        <v>1.2712908210232854E-3</v>
      </c>
      <c r="W30" s="536">
        <v>45901</v>
      </c>
      <c r="X30" s="75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299</v>
      </c>
      <c r="E31" s="394"/>
      <c r="F31" s="453"/>
      <c r="G31" s="635">
        <f>D167-G30</f>
        <v>99092.200000000012</v>
      </c>
      <c r="H31" s="537">
        <f>H30</f>
        <v>45901</v>
      </c>
      <c r="I31" s="751"/>
      <c r="J31" s="751"/>
      <c r="K31" s="302"/>
      <c r="L31" s="299">
        <v>4</v>
      </c>
      <c r="M31" s="426" t="s">
        <v>296</v>
      </c>
      <c r="N31" s="408" t="s">
        <v>300</v>
      </c>
      <c r="O31" s="543">
        <v>4000</v>
      </c>
      <c r="P31" s="453"/>
      <c r="Q31" s="301">
        <v>54000</v>
      </c>
      <c r="R31" s="587" t="s">
        <v>301</v>
      </c>
      <c r="S31" s="624" t="s">
        <v>302</v>
      </c>
      <c r="T31" s="649">
        <v>45900</v>
      </c>
      <c r="U31" s="507">
        <v>0</v>
      </c>
      <c r="V31" s="775"/>
      <c r="W31" s="537">
        <f>T31+30</f>
        <v>45930</v>
      </c>
      <c r="X31" s="75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51"/>
      <c r="J32" s="751"/>
      <c r="K32" s="302"/>
      <c r="L32" s="299">
        <v>4</v>
      </c>
      <c r="M32" s="426" t="s">
        <v>296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75"/>
      <c r="W32" s="571"/>
      <c r="X32" s="75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51"/>
      <c r="J33" s="751"/>
      <c r="K33" s="302"/>
      <c r="L33" s="299">
        <v>4</v>
      </c>
      <c r="M33" s="426" t="s">
        <v>296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75"/>
      <c r="W33" s="571"/>
      <c r="X33" s="754"/>
      <c r="Y33" s="609" t="s">
        <v>303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51"/>
      <c r="J34" s="751"/>
      <c r="K34" s="302"/>
      <c r="L34" s="299">
        <v>4</v>
      </c>
      <c r="M34" s="426" t="s">
        <v>296</v>
      </c>
      <c r="N34" s="408" t="s">
        <v>304</v>
      </c>
      <c r="O34" s="560">
        <f>Z30</f>
        <v>345642.25</v>
      </c>
      <c r="P34" s="561">
        <v>0.1</v>
      </c>
      <c r="Q34" s="301">
        <f>$O$34*P34</f>
        <v>34564.224999999999</v>
      </c>
      <c r="R34" s="777" t="s">
        <v>305</v>
      </c>
      <c r="S34" s="624" t="s">
        <v>306</v>
      </c>
      <c r="T34" s="649">
        <v>45900</v>
      </c>
      <c r="U34" s="656">
        <v>13125.247796246033</v>
      </c>
      <c r="V34" s="775"/>
      <c r="W34" s="537">
        <v>45867</v>
      </c>
      <c r="X34" s="754"/>
      <c r="Y34" s="609" t="s">
        <v>307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51"/>
      <c r="J35" s="751"/>
      <c r="K35" s="302"/>
      <c r="L35" s="299">
        <v>4</v>
      </c>
      <c r="M35" s="426" t="s">
        <v>296</v>
      </c>
      <c r="N35" s="408" t="s">
        <v>101</v>
      </c>
      <c r="O35" s="551"/>
      <c r="P35" s="561">
        <v>0.15</v>
      </c>
      <c r="Q35" s="301">
        <f t="shared" ref="Q35:Q41" si="2">$O$34*P35</f>
        <v>51846.337500000001</v>
      </c>
      <c r="R35" s="778"/>
      <c r="S35" s="624" t="s">
        <v>306</v>
      </c>
      <c r="T35" s="649">
        <v>45900</v>
      </c>
      <c r="U35" s="656">
        <v>19687.871694369052</v>
      </c>
      <c r="V35" s="775"/>
      <c r="W35" s="537">
        <v>45905</v>
      </c>
      <c r="X35" s="754"/>
      <c r="Y35" s="609" t="s">
        <v>308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51"/>
      <c r="J36" s="751"/>
      <c r="K36" s="302"/>
      <c r="L36" s="299">
        <v>4</v>
      </c>
      <c r="M36" s="426" t="s">
        <v>296</v>
      </c>
      <c r="N36" s="408" t="s">
        <v>309</v>
      </c>
      <c r="O36" s="663"/>
      <c r="P36" s="561">
        <v>0.2</v>
      </c>
      <c r="Q36" s="301">
        <f t="shared" si="2"/>
        <v>69128.45</v>
      </c>
      <c r="R36" s="778"/>
      <c r="S36" s="624" t="s">
        <v>306</v>
      </c>
      <c r="T36" s="649">
        <v>45900</v>
      </c>
      <c r="U36" s="656">
        <v>6499.4855924920666</v>
      </c>
      <c r="V36" s="775"/>
      <c r="W36" s="537">
        <f t="shared" ref="W36:W41" si="3">W96</f>
        <v>45967</v>
      </c>
      <c r="X36" s="754"/>
      <c r="Y36" s="609" t="s">
        <v>310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51"/>
      <c r="J37" s="751"/>
      <c r="K37" s="302"/>
      <c r="L37" s="299">
        <v>4</v>
      </c>
      <c r="M37" s="426" t="s">
        <v>296</v>
      </c>
      <c r="N37" s="408" t="s">
        <v>311</v>
      </c>
      <c r="O37" s="551"/>
      <c r="P37" s="561">
        <v>0.25</v>
      </c>
      <c r="Q37" s="301">
        <f t="shared" si="2"/>
        <v>86410.5625</v>
      </c>
      <c r="R37" s="778"/>
      <c r="S37" s="624" t="s">
        <v>306</v>
      </c>
      <c r="T37" s="649">
        <v>45900</v>
      </c>
      <c r="U37" s="656">
        <v>32813.119490615085</v>
      </c>
      <c r="V37" s="775"/>
      <c r="W37" s="669">
        <f t="shared" si="3"/>
        <v>45995</v>
      </c>
      <c r="X37" s="75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51"/>
      <c r="J38" s="751"/>
      <c r="K38" s="302"/>
      <c r="L38" s="299">
        <v>4</v>
      </c>
      <c r="M38" s="426" t="s">
        <v>296</v>
      </c>
      <c r="N38" s="408" t="s">
        <v>312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78"/>
      <c r="S38" s="624" t="s">
        <v>306</v>
      </c>
      <c r="T38" s="649">
        <v>45900</v>
      </c>
      <c r="U38" s="656">
        <v>13125.247796246033</v>
      </c>
      <c r="V38" s="775"/>
      <c r="W38" s="669">
        <v>46015</v>
      </c>
      <c r="X38" s="754"/>
      <c r="Y38" s="609" t="s">
        <v>287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51"/>
      <c r="J39" s="751"/>
      <c r="K39" s="302"/>
      <c r="L39" s="299">
        <v>4</v>
      </c>
      <c r="M39" s="426" t="s">
        <v>296</v>
      </c>
      <c r="N39" s="408" t="s">
        <v>313</v>
      </c>
      <c r="O39" s="551"/>
      <c r="P39" s="561">
        <v>0.1</v>
      </c>
      <c r="Q39" s="301">
        <f t="shared" si="2"/>
        <v>34564.224999999999</v>
      </c>
      <c r="R39" s="778"/>
      <c r="S39" s="624" t="s">
        <v>306</v>
      </c>
      <c r="T39" s="649">
        <v>45900</v>
      </c>
      <c r="U39" s="656">
        <v>13125.247796246033</v>
      </c>
      <c r="V39" s="775"/>
      <c r="W39" s="669">
        <v>46015</v>
      </c>
      <c r="X39" s="754"/>
      <c r="Y39" s="609" t="s">
        <v>287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51"/>
      <c r="J40" s="751"/>
      <c r="K40" s="302"/>
      <c r="L40" s="299">
        <v>4</v>
      </c>
      <c r="M40" s="426" t="s">
        <v>296</v>
      </c>
      <c r="N40" s="408" t="s">
        <v>314</v>
      </c>
      <c r="O40" s="663"/>
      <c r="P40" s="561">
        <v>0.05</v>
      </c>
      <c r="Q40" s="301">
        <f t="shared" si="2"/>
        <v>17282.112499999999</v>
      </c>
      <c r="R40" s="778"/>
      <c r="S40" s="624" t="s">
        <v>306</v>
      </c>
      <c r="T40" s="649">
        <v>45900</v>
      </c>
      <c r="U40" s="656">
        <v>6562.6238981230163</v>
      </c>
      <c r="V40" s="775"/>
      <c r="W40" s="537">
        <f t="shared" si="3"/>
        <v>46051</v>
      </c>
      <c r="X40" s="754"/>
      <c r="Y40" s="609" t="s">
        <v>206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51"/>
      <c r="J41" s="751"/>
      <c r="K41" s="302"/>
      <c r="L41" s="299">
        <v>4</v>
      </c>
      <c r="M41" s="426" t="s">
        <v>296</v>
      </c>
      <c r="N41" s="408" t="s">
        <v>315</v>
      </c>
      <c r="O41" s="551"/>
      <c r="P41" s="561">
        <v>0.05</v>
      </c>
      <c r="Q41" s="301">
        <f t="shared" si="2"/>
        <v>17282.112499999999</v>
      </c>
      <c r="R41" s="779"/>
      <c r="S41" s="624" t="s">
        <v>306</v>
      </c>
      <c r="T41" s="649">
        <v>45900</v>
      </c>
      <c r="U41" s="656">
        <v>6562.6238981230163</v>
      </c>
      <c r="V41" s="775"/>
      <c r="W41" s="571">
        <f t="shared" si="3"/>
        <v>46081</v>
      </c>
      <c r="X41" s="754"/>
      <c r="Y41" s="612" t="s">
        <v>292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51"/>
      <c r="J42" s="751"/>
      <c r="K42" s="302"/>
      <c r="L42" s="299">
        <v>4</v>
      </c>
      <c r="M42" s="426" t="s">
        <v>296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75"/>
      <c r="W42" s="571"/>
      <c r="X42" s="75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51"/>
      <c r="J43" s="751"/>
      <c r="K43" s="302"/>
      <c r="L43" s="299">
        <v>4</v>
      </c>
      <c r="M43" s="426" t="s">
        <v>296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75"/>
      <c r="W43" s="571"/>
      <c r="X43" s="75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52"/>
      <c r="J44" s="752"/>
      <c r="K44" s="307"/>
      <c r="L44" s="303">
        <v>4</v>
      </c>
      <c r="M44" s="427" t="s">
        <v>296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76"/>
      <c r="W44" s="572"/>
      <c r="X44" s="755"/>
      <c r="Y44" s="482"/>
    </row>
    <row r="45" spans="1:26" ht="14.45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316</v>
      </c>
      <c r="D46" s="328" t="s">
        <v>317</v>
      </c>
      <c r="E46" s="284"/>
      <c r="F46" s="437"/>
      <c r="G46" s="285">
        <f>D169-G47</f>
        <v>34000</v>
      </c>
      <c r="H46" s="538">
        <v>45925</v>
      </c>
      <c r="I46" s="730">
        <f>SUM(G46:G53)</f>
        <v>49000</v>
      </c>
      <c r="J46" s="730">
        <f>F169</f>
        <v>55681.818181818184</v>
      </c>
      <c r="K46" s="286"/>
      <c r="L46" s="282">
        <v>5</v>
      </c>
      <c r="M46" s="422" t="s">
        <v>318</v>
      </c>
      <c r="N46" s="328" t="s">
        <v>319</v>
      </c>
      <c r="O46" s="545"/>
      <c r="P46" s="437"/>
      <c r="Q46" s="285">
        <v>8598.34</v>
      </c>
      <c r="R46" s="589"/>
      <c r="S46" s="626" t="s">
        <v>256</v>
      </c>
      <c r="T46" s="646">
        <v>45869</v>
      </c>
      <c r="U46" s="658">
        <v>12837.981380735933</v>
      </c>
      <c r="V46" s="742">
        <f>J46-SUM(U46:U53)</f>
        <v>3.692327081807889E-4</v>
      </c>
      <c r="W46" s="538">
        <v>45925</v>
      </c>
      <c r="X46" s="733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320</v>
      </c>
      <c r="E47" s="451"/>
      <c r="F47" s="452"/>
      <c r="G47" s="316">
        <v>15000</v>
      </c>
      <c r="H47" s="534">
        <f>H46</f>
        <v>45925</v>
      </c>
      <c r="I47" s="731"/>
      <c r="J47" s="731"/>
      <c r="K47" s="289"/>
      <c r="L47" s="287">
        <v>5</v>
      </c>
      <c r="M47" s="428" t="s">
        <v>318</v>
      </c>
      <c r="N47" s="288" t="s">
        <v>321</v>
      </c>
      <c r="O47" s="553"/>
      <c r="P47" s="452"/>
      <c r="Q47" s="316">
        <v>14768</v>
      </c>
      <c r="R47" s="664" t="s">
        <v>322</v>
      </c>
      <c r="S47" s="619" t="s">
        <v>323</v>
      </c>
      <c r="T47" s="646">
        <v>45900</v>
      </c>
      <c r="U47" s="658">
        <v>22468.38009961653</v>
      </c>
      <c r="V47" s="743"/>
      <c r="W47" s="534">
        <f>T47+30</f>
        <v>45930</v>
      </c>
      <c r="X47" s="734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1"/>
      <c r="J48" s="731"/>
      <c r="K48" s="289"/>
      <c r="L48" s="287">
        <v>5</v>
      </c>
      <c r="M48" s="428" t="s">
        <v>318</v>
      </c>
      <c r="N48" s="314" t="s">
        <v>324</v>
      </c>
      <c r="O48" s="546"/>
      <c r="P48" s="459"/>
      <c r="Q48" s="316">
        <v>11169</v>
      </c>
      <c r="R48" s="582"/>
      <c r="S48" s="619" t="s">
        <v>325</v>
      </c>
      <c r="T48" s="646">
        <v>45900</v>
      </c>
      <c r="U48" s="658">
        <v>17104.08173500928</v>
      </c>
      <c r="V48" s="743"/>
      <c r="W48" s="534">
        <v>45900</v>
      </c>
      <c r="X48" s="734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1"/>
      <c r="J49" s="731"/>
      <c r="K49" s="289"/>
      <c r="L49" s="287">
        <v>5</v>
      </c>
      <c r="M49" s="428" t="s">
        <v>318</v>
      </c>
      <c r="N49" s="314" t="s">
        <v>326</v>
      </c>
      <c r="O49" s="546"/>
      <c r="P49" s="459"/>
      <c r="Q49" s="316">
        <v>209.27</v>
      </c>
      <c r="R49" s="582"/>
      <c r="S49" s="619" t="s">
        <v>327</v>
      </c>
      <c r="T49" s="646">
        <v>45930</v>
      </c>
      <c r="U49" s="658">
        <v>0</v>
      </c>
      <c r="V49" s="743"/>
      <c r="W49" s="683">
        <v>45961</v>
      </c>
      <c r="X49" s="734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1"/>
      <c r="J50" s="731"/>
      <c r="K50" s="289"/>
      <c r="L50" s="312">
        <v>5</v>
      </c>
      <c r="M50" s="428" t="s">
        <v>318</v>
      </c>
      <c r="N50" s="314" t="s">
        <v>328</v>
      </c>
      <c r="O50" s="546"/>
      <c r="P50" s="459"/>
      <c r="Q50" s="316">
        <v>975</v>
      </c>
      <c r="R50" s="582"/>
      <c r="S50" s="619" t="s">
        <v>329</v>
      </c>
      <c r="T50" s="646">
        <v>45900</v>
      </c>
      <c r="U50" s="658">
        <v>1969.6940998866548</v>
      </c>
      <c r="V50" s="743"/>
      <c r="W50" s="534">
        <v>45899</v>
      </c>
      <c r="X50" s="734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1"/>
      <c r="J51" s="731"/>
      <c r="K51" s="289"/>
      <c r="L51" s="312">
        <v>5</v>
      </c>
      <c r="M51" s="428" t="s">
        <v>318</v>
      </c>
      <c r="N51" s="387" t="s">
        <v>330</v>
      </c>
      <c r="O51" s="547"/>
      <c r="P51" s="444"/>
      <c r="Q51" s="386">
        <v>850</v>
      </c>
      <c r="R51" s="583"/>
      <c r="S51" s="620" t="s">
        <v>331</v>
      </c>
      <c r="T51" s="662">
        <v>45900</v>
      </c>
      <c r="U51" s="658">
        <v>1301.6804973370838</v>
      </c>
      <c r="V51" s="743"/>
      <c r="W51" s="535">
        <v>45899</v>
      </c>
      <c r="X51" s="734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1"/>
      <c r="J52" s="731"/>
      <c r="K52" s="289"/>
      <c r="L52" s="312">
        <v>5</v>
      </c>
      <c r="M52" s="428" t="s">
        <v>318</v>
      </c>
      <c r="N52" s="387"/>
      <c r="O52" s="547"/>
      <c r="P52" s="444"/>
      <c r="Q52" s="386">
        <v>-850</v>
      </c>
      <c r="R52" s="583"/>
      <c r="S52" s="620" t="s">
        <v>332</v>
      </c>
      <c r="T52" s="672">
        <v>45930</v>
      </c>
      <c r="U52" s="503">
        <v>0</v>
      </c>
      <c r="V52" s="743"/>
      <c r="W52" s="673">
        <v>45930</v>
      </c>
      <c r="X52" s="734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2"/>
      <c r="J53" s="732"/>
      <c r="K53" s="290"/>
      <c r="L53" s="317">
        <v>5</v>
      </c>
      <c r="M53" s="424" t="s">
        <v>318</v>
      </c>
      <c r="N53" s="318"/>
      <c r="O53" s="548"/>
      <c r="P53" s="460"/>
      <c r="Q53" s="331">
        <v>1214.0999999999999</v>
      </c>
      <c r="R53" s="584"/>
      <c r="S53" s="621" t="s">
        <v>333</v>
      </c>
      <c r="T53" s="675">
        <v>45930</v>
      </c>
      <c r="U53" s="504">
        <v>0</v>
      </c>
      <c r="V53" s="744"/>
      <c r="W53" s="674">
        <v>45909</v>
      </c>
      <c r="X53" s="735"/>
      <c r="Y53" s="482"/>
    </row>
    <row r="54" spans="1:25" ht="14.45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260</v>
      </c>
      <c r="D55" s="296" t="s">
        <v>334</v>
      </c>
      <c r="E55" s="475"/>
      <c r="F55" s="457"/>
      <c r="G55" s="297">
        <f>D168</f>
        <v>262993.38260869565</v>
      </c>
      <c r="H55" s="570">
        <f>H47</f>
        <v>45925</v>
      </c>
      <c r="I55" s="750">
        <f>SUM(G55:G72)</f>
        <v>262993.38260869565</v>
      </c>
      <c r="J55" s="750">
        <f>F168</f>
        <v>298856.11660079053</v>
      </c>
      <c r="K55" s="298"/>
      <c r="L55" s="294">
        <v>6</v>
      </c>
      <c r="M55" s="431" t="s">
        <v>335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74">
        <f>J55-SUM(U55:U72)</f>
        <v>0</v>
      </c>
      <c r="W55" s="570"/>
      <c r="X55" s="75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51"/>
      <c r="J56" s="751"/>
      <c r="K56" s="302"/>
      <c r="L56" s="299">
        <v>6</v>
      </c>
      <c r="M56" s="429" t="s">
        <v>335</v>
      </c>
      <c r="N56" s="443" t="s">
        <v>336</v>
      </c>
      <c r="O56" s="551"/>
      <c r="P56" s="453"/>
      <c r="Q56" s="322">
        <v>61859.08</v>
      </c>
      <c r="R56" s="587"/>
      <c r="S56" s="624" t="s">
        <v>337</v>
      </c>
      <c r="T56" s="649">
        <f>'Project Plan'!K4</f>
        <v>45900</v>
      </c>
      <c r="U56" s="656">
        <v>99991.651166755226</v>
      </c>
      <c r="V56" s="775"/>
      <c r="W56" s="537">
        <v>45930</v>
      </c>
      <c r="X56" s="75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51"/>
      <c r="J57" s="751"/>
      <c r="K57" s="302"/>
      <c r="L57" s="299">
        <v>6</v>
      </c>
      <c r="M57" s="429" t="s">
        <v>335</v>
      </c>
      <c r="N57" s="443" t="s">
        <v>338</v>
      </c>
      <c r="O57" s="551"/>
      <c r="P57" s="453"/>
      <c r="Q57" s="322">
        <v>10499.85</v>
      </c>
      <c r="R57" s="587" t="s">
        <v>339</v>
      </c>
      <c r="S57" s="624" t="s">
        <v>340</v>
      </c>
      <c r="T57" s="670">
        <v>45991</v>
      </c>
      <c r="U57" s="656">
        <v>0</v>
      </c>
      <c r="V57" s="775"/>
      <c r="W57" s="669">
        <v>46021</v>
      </c>
      <c r="X57" s="75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51"/>
      <c r="J58" s="751"/>
      <c r="K58" s="302"/>
      <c r="L58" s="299">
        <v>6</v>
      </c>
      <c r="M58" s="429" t="s">
        <v>335</v>
      </c>
      <c r="N58" s="443" t="s">
        <v>341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75"/>
      <c r="W58" s="571">
        <f>T58+30</f>
        <v>46111</v>
      </c>
      <c r="X58" s="75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51"/>
      <c r="J59" s="751"/>
      <c r="K59" s="302"/>
      <c r="L59" s="299">
        <v>6</v>
      </c>
      <c r="M59" s="429" t="s">
        <v>335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75"/>
      <c r="W59" s="571"/>
      <c r="X59" s="75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51"/>
      <c r="J60" s="751"/>
      <c r="K60" s="302"/>
      <c r="L60" s="299">
        <v>6</v>
      </c>
      <c r="M60" s="429" t="s">
        <v>335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75"/>
      <c r="W60" s="571"/>
      <c r="X60" s="75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51"/>
      <c r="J61" s="751"/>
      <c r="K61" s="302"/>
      <c r="L61" s="299">
        <v>6</v>
      </c>
      <c r="M61" s="429" t="s">
        <v>335</v>
      </c>
      <c r="N61" s="408" t="s">
        <v>304</v>
      </c>
      <c r="O61" s="560">
        <f>Z29</f>
        <v>123026</v>
      </c>
      <c r="P61" s="561">
        <v>0.1</v>
      </c>
      <c r="Q61" s="301">
        <f>$O$61*P61-5009.68</f>
        <v>7292.92</v>
      </c>
      <c r="R61" s="777" t="s">
        <v>305</v>
      </c>
      <c r="S61" s="624" t="s">
        <v>306</v>
      </c>
      <c r="T61" s="649">
        <v>45900</v>
      </c>
      <c r="U61" s="656">
        <v>19886.446543403534</v>
      </c>
      <c r="V61" s="775"/>
      <c r="W61" s="537">
        <v>45867</v>
      </c>
      <c r="X61" s="75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51"/>
      <c r="J62" s="751"/>
      <c r="K62" s="302"/>
      <c r="L62" s="299">
        <v>6</v>
      </c>
      <c r="M62" s="429" t="s">
        <v>335</v>
      </c>
      <c r="N62" s="408"/>
      <c r="O62" s="560"/>
      <c r="P62" s="561"/>
      <c r="Q62" s="301">
        <v>5009.68</v>
      </c>
      <c r="R62" s="778"/>
      <c r="S62" s="624" t="s">
        <v>306</v>
      </c>
      <c r="T62" s="649">
        <v>45900</v>
      </c>
      <c r="U62" s="656">
        <v>0</v>
      </c>
      <c r="V62" s="775"/>
      <c r="W62" s="537">
        <v>45890</v>
      </c>
      <c r="X62" s="75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51"/>
      <c r="J63" s="751"/>
      <c r="K63" s="302"/>
      <c r="L63" s="299">
        <v>6</v>
      </c>
      <c r="M63" s="430" t="s">
        <v>335</v>
      </c>
      <c r="N63" s="408" t="s">
        <v>101</v>
      </c>
      <c r="O63" s="551"/>
      <c r="P63" s="561">
        <v>0.15</v>
      </c>
      <c r="Q63" s="301">
        <f t="shared" ref="Q63:Q69" si="4">$O$61*P63</f>
        <v>18453.899999999998</v>
      </c>
      <c r="R63" s="778"/>
      <c r="S63" s="624" t="s">
        <v>306</v>
      </c>
      <c r="T63" s="649">
        <v>45900</v>
      </c>
      <c r="U63" s="656">
        <v>29829.669815105299</v>
      </c>
      <c r="V63" s="775"/>
      <c r="W63" s="537">
        <v>45905</v>
      </c>
      <c r="X63" s="75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51"/>
      <c r="J64" s="751"/>
      <c r="K64" s="302"/>
      <c r="L64" s="299">
        <v>6</v>
      </c>
      <c r="M64" s="430" t="s">
        <v>335</v>
      </c>
      <c r="N64" s="408" t="s">
        <v>309</v>
      </c>
      <c r="O64" s="676"/>
      <c r="P64" s="561">
        <v>0.2</v>
      </c>
      <c r="Q64" s="301">
        <f t="shared" si="4"/>
        <v>24605.200000000001</v>
      </c>
      <c r="R64" s="778"/>
      <c r="S64" s="624" t="s">
        <v>306</v>
      </c>
      <c r="T64" s="649">
        <v>45900</v>
      </c>
      <c r="U64" s="656">
        <v>39772.893086807067</v>
      </c>
      <c r="V64" s="775"/>
      <c r="W64" s="537">
        <f t="shared" ref="W64:W69" si="5">W96</f>
        <v>45967</v>
      </c>
      <c r="X64" s="75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51"/>
      <c r="J65" s="751"/>
      <c r="K65" s="302"/>
      <c r="L65" s="299">
        <v>6</v>
      </c>
      <c r="M65" s="430" t="s">
        <v>335</v>
      </c>
      <c r="N65" s="408" t="s">
        <v>311</v>
      </c>
      <c r="O65" s="663"/>
      <c r="P65" s="561">
        <v>0.25</v>
      </c>
      <c r="Q65" s="301">
        <f t="shared" si="4"/>
        <v>30756.5</v>
      </c>
      <c r="R65" s="778"/>
      <c r="S65" s="624" t="s">
        <v>306</v>
      </c>
      <c r="T65" s="649">
        <v>45900</v>
      </c>
      <c r="U65" s="656">
        <v>49716.116358508836</v>
      </c>
      <c r="V65" s="775"/>
      <c r="W65" s="669">
        <f t="shared" si="5"/>
        <v>45995</v>
      </c>
      <c r="X65" s="75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51"/>
      <c r="J66" s="751"/>
      <c r="K66" s="302"/>
      <c r="L66" s="299">
        <v>6</v>
      </c>
      <c r="M66" s="430" t="s">
        <v>335</v>
      </c>
      <c r="N66" s="408" t="s">
        <v>312</v>
      </c>
      <c r="O66" s="676"/>
      <c r="P66" s="561">
        <v>0.1</v>
      </c>
      <c r="Q66" s="301">
        <f t="shared" si="4"/>
        <v>12302.6</v>
      </c>
      <c r="R66" s="778"/>
      <c r="S66" s="624" t="s">
        <v>306</v>
      </c>
      <c r="T66" s="649">
        <v>45900</v>
      </c>
      <c r="U66" s="656">
        <v>19886.446543403534</v>
      </c>
      <c r="V66" s="775"/>
      <c r="W66" s="669">
        <v>46015</v>
      </c>
      <c r="X66" s="75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51"/>
      <c r="J67" s="751"/>
      <c r="K67" s="302"/>
      <c r="L67" s="299">
        <v>6</v>
      </c>
      <c r="M67" s="430" t="s">
        <v>335</v>
      </c>
      <c r="N67" s="408" t="s">
        <v>313</v>
      </c>
      <c r="O67" s="676"/>
      <c r="P67" s="561">
        <v>0.1</v>
      </c>
      <c r="Q67" s="301">
        <f t="shared" si="4"/>
        <v>12302.6</v>
      </c>
      <c r="R67" s="778"/>
      <c r="S67" s="628" t="s">
        <v>306</v>
      </c>
      <c r="T67" s="649">
        <v>45900</v>
      </c>
      <c r="U67" s="666">
        <v>19886.446543403534</v>
      </c>
      <c r="V67" s="775"/>
      <c r="W67" s="669">
        <v>46015</v>
      </c>
      <c r="X67" s="75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51"/>
      <c r="J68" s="751"/>
      <c r="K68" s="302"/>
      <c r="L68" s="299">
        <v>6</v>
      </c>
      <c r="M68" s="430" t="s">
        <v>335</v>
      </c>
      <c r="N68" s="408" t="s">
        <v>314</v>
      </c>
      <c r="O68" s="551"/>
      <c r="P68" s="561">
        <v>0.05</v>
      </c>
      <c r="Q68" s="301">
        <f t="shared" si="4"/>
        <v>6151.3</v>
      </c>
      <c r="R68" s="778"/>
      <c r="S68" s="628" t="s">
        <v>306</v>
      </c>
      <c r="T68" s="649">
        <v>45900</v>
      </c>
      <c r="U68" s="666">
        <v>9943.2232717017669</v>
      </c>
      <c r="V68" s="775"/>
      <c r="W68" s="537">
        <f t="shared" si="5"/>
        <v>46051</v>
      </c>
      <c r="X68" s="75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51"/>
      <c r="J69" s="751"/>
      <c r="K69" s="302"/>
      <c r="L69" s="299">
        <v>6</v>
      </c>
      <c r="M69" s="430" t="s">
        <v>335</v>
      </c>
      <c r="N69" s="408" t="s">
        <v>315</v>
      </c>
      <c r="O69" s="551"/>
      <c r="P69" s="561">
        <v>0.05</v>
      </c>
      <c r="Q69" s="301">
        <f t="shared" si="4"/>
        <v>6151.3</v>
      </c>
      <c r="R69" s="779"/>
      <c r="S69" s="628" t="s">
        <v>306</v>
      </c>
      <c r="T69" s="649">
        <v>45900</v>
      </c>
      <c r="U69" s="666">
        <v>9943.2232717017669</v>
      </c>
      <c r="V69" s="775"/>
      <c r="W69" s="571">
        <f t="shared" si="5"/>
        <v>46081</v>
      </c>
      <c r="X69" s="75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51"/>
      <c r="J70" s="751"/>
      <c r="K70" s="302"/>
      <c r="L70" s="299">
        <v>6</v>
      </c>
      <c r="M70" s="430" t="s">
        <v>335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75"/>
      <c r="W70" s="574"/>
      <c r="X70" s="75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51"/>
      <c r="J71" s="751"/>
      <c r="K71" s="302"/>
      <c r="L71" s="299">
        <v>6</v>
      </c>
      <c r="M71" s="430" t="s">
        <v>335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75"/>
      <c r="W71" s="574"/>
      <c r="X71" s="75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52"/>
      <c r="J72" s="752"/>
      <c r="K72" s="307"/>
      <c r="L72" s="303">
        <v>6</v>
      </c>
      <c r="M72" s="432" t="s">
        <v>335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76"/>
      <c r="W72" s="572"/>
      <c r="X72" s="755"/>
      <c r="Y72" s="482"/>
    </row>
    <row r="73" spans="1:25" ht="14.45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342</v>
      </c>
      <c r="D74" s="381"/>
      <c r="E74" s="462"/>
      <c r="F74" s="468"/>
      <c r="G74" s="382"/>
      <c r="H74" s="576"/>
      <c r="I74" s="730">
        <f>SUM(G74:G81)</f>
        <v>0</v>
      </c>
      <c r="J74" s="730">
        <f>F173</f>
        <v>0</v>
      </c>
      <c r="K74" s="286"/>
      <c r="L74" s="380">
        <v>7</v>
      </c>
      <c r="M74" s="310" t="s">
        <v>343</v>
      </c>
      <c r="N74" s="381"/>
      <c r="O74" s="462"/>
      <c r="P74" s="468"/>
      <c r="Q74" s="382"/>
      <c r="R74" s="593"/>
      <c r="S74" s="630"/>
      <c r="T74" s="527"/>
      <c r="U74" s="645"/>
      <c r="V74" s="780">
        <f>J74-SUM(U74:U81)</f>
        <v>0</v>
      </c>
      <c r="W74" s="576"/>
      <c r="X74" s="733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1"/>
      <c r="J75" s="731"/>
      <c r="K75" s="289"/>
      <c r="L75" s="383">
        <v>7</v>
      </c>
      <c r="M75" s="384" t="s">
        <v>343</v>
      </c>
      <c r="N75" s="385"/>
      <c r="O75" s="406"/>
      <c r="P75" s="444"/>
      <c r="Q75" s="386"/>
      <c r="R75" s="583"/>
      <c r="S75" s="620"/>
      <c r="T75" s="518"/>
      <c r="U75" s="503"/>
      <c r="V75" s="781"/>
      <c r="W75" s="567"/>
      <c r="X75" s="73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1"/>
      <c r="J76" s="731"/>
      <c r="K76" s="289"/>
      <c r="L76" s="383">
        <v>7</v>
      </c>
      <c r="M76" s="384" t="s">
        <v>343</v>
      </c>
      <c r="N76" s="385"/>
      <c r="O76" s="406"/>
      <c r="P76" s="444"/>
      <c r="Q76" s="386"/>
      <c r="R76" s="583"/>
      <c r="S76" s="620"/>
      <c r="T76" s="518"/>
      <c r="U76" s="503"/>
      <c r="V76" s="781"/>
      <c r="W76" s="567"/>
      <c r="X76" s="73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1"/>
      <c r="J77" s="731"/>
      <c r="K77" s="289"/>
      <c r="L77" s="383">
        <v>7</v>
      </c>
      <c r="M77" s="384" t="s">
        <v>343</v>
      </c>
      <c r="N77" s="385"/>
      <c r="O77" s="406"/>
      <c r="P77" s="444"/>
      <c r="Q77" s="386"/>
      <c r="R77" s="583"/>
      <c r="S77" s="620"/>
      <c r="T77" s="518"/>
      <c r="U77" s="503"/>
      <c r="V77" s="781"/>
      <c r="W77" s="567"/>
      <c r="X77" s="734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1"/>
      <c r="J78" s="731"/>
      <c r="K78" s="289"/>
      <c r="L78" s="383">
        <v>7</v>
      </c>
      <c r="M78" s="384" t="s">
        <v>343</v>
      </c>
      <c r="N78" s="385"/>
      <c r="O78" s="406"/>
      <c r="P78" s="444"/>
      <c r="Q78" s="386"/>
      <c r="R78" s="583"/>
      <c r="S78" s="620"/>
      <c r="T78" s="518"/>
      <c r="U78" s="503"/>
      <c r="V78" s="781"/>
      <c r="W78" s="567"/>
      <c r="X78" s="734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1"/>
      <c r="J79" s="731"/>
      <c r="K79" s="289"/>
      <c r="L79" s="383">
        <v>7</v>
      </c>
      <c r="M79" s="384" t="s">
        <v>343</v>
      </c>
      <c r="N79" s="385"/>
      <c r="O79" s="547"/>
      <c r="P79" s="444"/>
      <c r="Q79" s="386"/>
      <c r="R79" s="583"/>
      <c r="S79" s="620"/>
      <c r="T79" s="518"/>
      <c r="U79" s="503"/>
      <c r="V79" s="781"/>
      <c r="W79" s="567"/>
      <c r="X79" s="734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1"/>
      <c r="J80" s="731"/>
      <c r="K80" s="289"/>
      <c r="L80" s="383">
        <v>7</v>
      </c>
      <c r="M80" s="384" t="s">
        <v>343</v>
      </c>
      <c r="N80" s="385"/>
      <c r="O80" s="547"/>
      <c r="P80" s="444"/>
      <c r="Q80" s="386"/>
      <c r="R80" s="583"/>
      <c r="S80" s="620"/>
      <c r="T80" s="518"/>
      <c r="U80" s="503"/>
      <c r="V80" s="781"/>
      <c r="W80" s="567"/>
      <c r="X80" s="734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2"/>
      <c r="J81" s="732"/>
      <c r="K81" s="290"/>
      <c r="L81" s="317">
        <v>7</v>
      </c>
      <c r="M81" s="338" t="s">
        <v>343</v>
      </c>
      <c r="N81" s="330"/>
      <c r="O81" s="548"/>
      <c r="P81" s="460"/>
      <c r="Q81" s="331"/>
      <c r="R81" s="584"/>
      <c r="S81" s="621"/>
      <c r="T81" s="519"/>
      <c r="U81" s="504"/>
      <c r="V81" s="782"/>
      <c r="W81" s="568"/>
      <c r="X81" s="735"/>
      <c r="Y81" s="482"/>
    </row>
    <row r="82" spans="1:25" ht="14.45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344</v>
      </c>
      <c r="D83" s="334"/>
      <c r="E83" s="463"/>
      <c r="F83" s="416"/>
      <c r="G83" s="335"/>
      <c r="H83" s="570"/>
      <c r="I83" s="750">
        <f>SUM(G83:G91)</f>
        <v>4000</v>
      </c>
      <c r="J83" s="750">
        <f>F170+F172</f>
        <v>4494.3820224719102</v>
      </c>
      <c r="K83" s="298"/>
      <c r="L83" s="333">
        <v>8</v>
      </c>
      <c r="M83" s="425" t="s">
        <v>345</v>
      </c>
      <c r="N83" s="334"/>
      <c r="O83" s="463"/>
      <c r="P83" s="416"/>
      <c r="Q83" s="335"/>
      <c r="R83" s="586"/>
      <c r="S83" s="623"/>
      <c r="T83" s="521"/>
      <c r="U83" s="506"/>
      <c r="V83" s="765">
        <f>J83-SUM(U83:U91)</f>
        <v>0</v>
      </c>
      <c r="W83" s="570"/>
      <c r="X83" s="75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51"/>
      <c r="J84" s="751"/>
      <c r="K84" s="302"/>
      <c r="L84" s="323">
        <v>8</v>
      </c>
      <c r="M84" s="433" t="s">
        <v>345</v>
      </c>
      <c r="N84" s="336"/>
      <c r="O84" s="415"/>
      <c r="P84" s="461"/>
      <c r="Q84" s="325"/>
      <c r="R84" s="587"/>
      <c r="S84" s="624"/>
      <c r="T84" s="522"/>
      <c r="U84" s="507"/>
      <c r="V84" s="766"/>
      <c r="W84" s="571"/>
      <c r="X84" s="754"/>
      <c r="Y84" s="482"/>
    </row>
    <row r="85" spans="1:25" ht="14.25" customHeight="1">
      <c r="B85" s="323">
        <v>8</v>
      </c>
      <c r="C85" s="324"/>
      <c r="D85" s="336" t="s">
        <v>346</v>
      </c>
      <c r="E85" s="415"/>
      <c r="F85" s="461"/>
      <c r="G85" s="325">
        <v>4000</v>
      </c>
      <c r="H85" s="537">
        <v>45911</v>
      </c>
      <c r="I85" s="751"/>
      <c r="J85" s="751"/>
      <c r="K85" s="302"/>
      <c r="L85" s="323">
        <v>8</v>
      </c>
      <c r="M85" s="433" t="s">
        <v>345</v>
      </c>
      <c r="N85" s="336" t="s">
        <v>346</v>
      </c>
      <c r="O85" s="415"/>
      <c r="P85" s="461"/>
      <c r="Q85" s="325">
        <v>3600</v>
      </c>
      <c r="R85" s="587" t="s">
        <v>347</v>
      </c>
      <c r="S85" s="624" t="s">
        <v>348</v>
      </c>
      <c r="T85" s="649">
        <v>45900</v>
      </c>
      <c r="U85" s="656">
        <v>4494.3820224719102</v>
      </c>
      <c r="V85" s="766"/>
      <c r="W85" s="537">
        <v>45911</v>
      </c>
      <c r="X85" s="75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51"/>
      <c r="J86" s="751"/>
      <c r="K86" s="302"/>
      <c r="L86" s="323">
        <v>8</v>
      </c>
      <c r="M86" s="433" t="s">
        <v>345</v>
      </c>
      <c r="N86" s="336"/>
      <c r="O86" s="554"/>
      <c r="P86" s="461"/>
      <c r="Q86" s="325"/>
      <c r="R86" s="587"/>
      <c r="S86" s="624"/>
      <c r="T86" s="649"/>
      <c r="U86" s="507"/>
      <c r="V86" s="766"/>
      <c r="W86" s="669"/>
      <c r="X86" s="75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51"/>
      <c r="J87" s="751"/>
      <c r="K87" s="302"/>
      <c r="L87" s="323">
        <v>8</v>
      </c>
      <c r="M87" s="433" t="s">
        <v>345</v>
      </c>
      <c r="N87" s="336"/>
      <c r="O87" s="554"/>
      <c r="P87" s="461"/>
      <c r="Q87" s="325"/>
      <c r="R87" s="587"/>
      <c r="S87" s="624"/>
      <c r="T87" s="522"/>
      <c r="U87" s="507"/>
      <c r="V87" s="766"/>
      <c r="W87" s="571"/>
      <c r="X87" s="75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51"/>
      <c r="J88" s="751"/>
      <c r="K88" s="302"/>
      <c r="L88" s="323">
        <v>8</v>
      </c>
      <c r="M88" s="433" t="s">
        <v>345</v>
      </c>
      <c r="N88" s="336"/>
      <c r="O88" s="554"/>
      <c r="P88" s="461"/>
      <c r="Q88" s="325"/>
      <c r="R88" s="587"/>
      <c r="S88" s="624"/>
      <c r="T88" s="522"/>
      <c r="U88" s="507"/>
      <c r="V88" s="766"/>
      <c r="W88" s="571"/>
      <c r="X88" s="75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51"/>
      <c r="J89" s="751"/>
      <c r="K89" s="302"/>
      <c r="L89" s="323">
        <v>8</v>
      </c>
      <c r="M89" s="433" t="s">
        <v>345</v>
      </c>
      <c r="N89" s="336"/>
      <c r="O89" s="554"/>
      <c r="P89" s="461"/>
      <c r="Q89" s="325"/>
      <c r="R89" s="587"/>
      <c r="S89" s="624"/>
      <c r="T89" s="522"/>
      <c r="U89" s="507"/>
      <c r="V89" s="766"/>
      <c r="W89" s="571"/>
      <c r="X89" s="75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51"/>
      <c r="J90" s="751"/>
      <c r="K90" s="302"/>
      <c r="L90" s="323">
        <v>8</v>
      </c>
      <c r="M90" s="433" t="s">
        <v>345</v>
      </c>
      <c r="N90" s="336"/>
      <c r="O90" s="554"/>
      <c r="P90" s="461"/>
      <c r="Q90" s="325"/>
      <c r="R90" s="591"/>
      <c r="S90" s="628"/>
      <c r="T90" s="525"/>
      <c r="U90" s="512"/>
      <c r="V90" s="766"/>
      <c r="W90" s="574"/>
      <c r="X90" s="75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52"/>
      <c r="J91" s="752"/>
      <c r="K91" s="307"/>
      <c r="L91" s="303">
        <v>8</v>
      </c>
      <c r="M91" s="432" t="s">
        <v>345</v>
      </c>
      <c r="N91" s="305"/>
      <c r="O91" s="555"/>
      <c r="P91" s="455"/>
      <c r="Q91" s="306"/>
      <c r="R91" s="588"/>
      <c r="S91" s="625"/>
      <c r="T91" s="523"/>
      <c r="U91" s="508"/>
      <c r="V91" s="767"/>
      <c r="W91" s="572"/>
      <c r="X91" s="75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349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350</v>
      </c>
      <c r="D93" s="328" t="s">
        <v>351</v>
      </c>
      <c r="E93" s="315"/>
      <c r="F93" s="437"/>
      <c r="G93" s="614">
        <f>D177</f>
        <v>41610</v>
      </c>
      <c r="H93" s="573">
        <f>H94</f>
        <v>45890</v>
      </c>
      <c r="I93" s="756">
        <f>SUM(G93:G104)</f>
        <v>138700</v>
      </c>
      <c r="J93" s="730">
        <f>F177+F178</f>
        <v>163176.4705882353</v>
      </c>
      <c r="K93" s="289"/>
      <c r="L93" s="312">
        <v>9</v>
      </c>
      <c r="M93" s="423" t="s">
        <v>352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2">
        <f>J93-SUM(U93:U104)</f>
        <v>0</v>
      </c>
      <c r="W93" s="573"/>
      <c r="X93" s="759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353</v>
      </c>
      <c r="E94" s="315"/>
      <c r="F94" s="459"/>
      <c r="G94" s="614">
        <f>D178</f>
        <v>97090</v>
      </c>
      <c r="H94" s="534">
        <v>45890</v>
      </c>
      <c r="I94" s="757"/>
      <c r="J94" s="731"/>
      <c r="K94" s="289"/>
      <c r="L94" s="312">
        <v>9</v>
      </c>
      <c r="M94" s="423" t="s">
        <v>352</v>
      </c>
      <c r="N94" s="329" t="s">
        <v>304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71" t="s">
        <v>305</v>
      </c>
      <c r="S94" s="619" t="s">
        <v>306</v>
      </c>
      <c r="T94" s="662">
        <v>45900</v>
      </c>
      <c r="U94" s="655">
        <v>16317.647058823532</v>
      </c>
      <c r="V94" s="743"/>
      <c r="W94" s="534">
        <v>45890</v>
      </c>
      <c r="X94" s="760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57"/>
      <c r="J95" s="731"/>
      <c r="K95" s="289"/>
      <c r="L95" s="383">
        <v>9</v>
      </c>
      <c r="M95" s="501" t="s">
        <v>352</v>
      </c>
      <c r="N95" s="385" t="s">
        <v>101</v>
      </c>
      <c r="O95" s="547"/>
      <c r="P95" s="562">
        <v>0.15</v>
      </c>
      <c r="Q95" s="316">
        <f t="shared" ref="Q95:Q101" si="7">$O$94*P95</f>
        <v>47334.96</v>
      </c>
      <c r="R95" s="772"/>
      <c r="S95" s="620" t="s">
        <v>306</v>
      </c>
      <c r="T95" s="662">
        <v>45900</v>
      </c>
      <c r="U95" s="655">
        <v>24476.470588235294</v>
      </c>
      <c r="V95" s="743"/>
      <c r="W95" s="535">
        <v>45905</v>
      </c>
      <c r="X95" s="76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57"/>
      <c r="J96" s="731"/>
      <c r="K96" s="289"/>
      <c r="L96" s="383">
        <v>9</v>
      </c>
      <c r="M96" s="501" t="s">
        <v>352</v>
      </c>
      <c r="N96" s="385" t="s">
        <v>309</v>
      </c>
      <c r="O96" s="547"/>
      <c r="P96" s="562">
        <v>0.2</v>
      </c>
      <c r="Q96" s="316">
        <f t="shared" si="7"/>
        <v>63113.280000000006</v>
      </c>
      <c r="R96" s="772"/>
      <c r="S96" s="620" t="s">
        <v>306</v>
      </c>
      <c r="T96" s="662">
        <v>45900</v>
      </c>
      <c r="U96" s="655">
        <v>32635.294117647063</v>
      </c>
      <c r="V96" s="743"/>
      <c r="W96" s="535">
        <v>45967</v>
      </c>
      <c r="X96" s="76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57"/>
      <c r="J97" s="731"/>
      <c r="K97" s="289"/>
      <c r="L97" s="383">
        <v>9</v>
      </c>
      <c r="M97" s="501" t="s">
        <v>352</v>
      </c>
      <c r="N97" s="385" t="s">
        <v>311</v>
      </c>
      <c r="O97" s="547"/>
      <c r="P97" s="562">
        <v>0.25</v>
      </c>
      <c r="Q97" s="316">
        <f t="shared" si="7"/>
        <v>78891.600000000006</v>
      </c>
      <c r="R97" s="772"/>
      <c r="S97" s="620" t="s">
        <v>306</v>
      </c>
      <c r="T97" s="662">
        <v>45900</v>
      </c>
      <c r="U97" s="655">
        <v>40794.117647058825</v>
      </c>
      <c r="V97" s="743"/>
      <c r="W97" s="673">
        <v>45995</v>
      </c>
      <c r="X97" s="76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57"/>
      <c r="J98" s="731"/>
      <c r="K98" s="289"/>
      <c r="L98" s="383">
        <v>9</v>
      </c>
      <c r="M98" s="501" t="s">
        <v>352</v>
      </c>
      <c r="N98" s="385" t="s">
        <v>312</v>
      </c>
      <c r="O98" s="547"/>
      <c r="P98" s="562">
        <v>0.1</v>
      </c>
      <c r="Q98" s="316">
        <f t="shared" si="7"/>
        <v>31556.640000000003</v>
      </c>
      <c r="R98" s="772"/>
      <c r="S98" s="620" t="s">
        <v>306</v>
      </c>
      <c r="T98" s="662">
        <v>45900</v>
      </c>
      <c r="U98" s="655">
        <v>16317.647058823532</v>
      </c>
      <c r="V98" s="743"/>
      <c r="W98" s="673">
        <v>46015</v>
      </c>
      <c r="X98" s="76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57"/>
      <c r="J99" s="731"/>
      <c r="K99" s="289"/>
      <c r="L99" s="383">
        <v>9</v>
      </c>
      <c r="M99" s="501" t="s">
        <v>352</v>
      </c>
      <c r="N99" s="385" t="s">
        <v>313</v>
      </c>
      <c r="O99" s="547"/>
      <c r="P99" s="562">
        <v>0.1</v>
      </c>
      <c r="Q99" s="316">
        <f t="shared" si="7"/>
        <v>31556.640000000003</v>
      </c>
      <c r="R99" s="772"/>
      <c r="S99" s="620" t="s">
        <v>306</v>
      </c>
      <c r="T99" s="662">
        <v>45900</v>
      </c>
      <c r="U99" s="655">
        <v>16317.647058823532</v>
      </c>
      <c r="V99" s="743"/>
      <c r="W99" s="673">
        <v>46015</v>
      </c>
      <c r="X99" s="76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57"/>
      <c r="J100" s="731"/>
      <c r="K100" s="289"/>
      <c r="L100" s="383">
        <v>9</v>
      </c>
      <c r="M100" s="501" t="s">
        <v>352</v>
      </c>
      <c r="N100" s="385" t="s">
        <v>314</v>
      </c>
      <c r="O100" s="547"/>
      <c r="P100" s="562">
        <v>0.05</v>
      </c>
      <c r="Q100" s="316">
        <f t="shared" si="7"/>
        <v>15778.320000000002</v>
      </c>
      <c r="R100" s="772"/>
      <c r="S100" s="620" t="s">
        <v>306</v>
      </c>
      <c r="T100" s="662">
        <v>45900</v>
      </c>
      <c r="U100" s="655">
        <v>8158.8235294117658</v>
      </c>
      <c r="V100" s="743"/>
      <c r="W100" s="535">
        <v>46051</v>
      </c>
      <c r="X100" s="76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57"/>
      <c r="J101" s="731"/>
      <c r="K101" s="289"/>
      <c r="L101" s="383">
        <v>9</v>
      </c>
      <c r="M101" s="501" t="s">
        <v>352</v>
      </c>
      <c r="N101" s="385" t="s">
        <v>315</v>
      </c>
      <c r="O101" s="547"/>
      <c r="P101" s="562">
        <v>0.05</v>
      </c>
      <c r="Q101" s="316">
        <f t="shared" si="7"/>
        <v>15778.320000000002</v>
      </c>
      <c r="R101" s="773"/>
      <c r="S101" s="620" t="s">
        <v>306</v>
      </c>
      <c r="T101" s="662">
        <v>45900</v>
      </c>
      <c r="U101" s="655">
        <v>8158.8235294117658</v>
      </c>
      <c r="V101" s="743"/>
      <c r="W101" s="567">
        <f>W100+30</f>
        <v>46081</v>
      </c>
      <c r="X101" s="76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57"/>
      <c r="J102" s="731"/>
      <c r="K102" s="289"/>
      <c r="L102" s="383">
        <v>9</v>
      </c>
      <c r="M102" s="501" t="s">
        <v>352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43"/>
      <c r="W102" s="567"/>
      <c r="X102" s="76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57"/>
      <c r="J103" s="731"/>
      <c r="K103" s="289"/>
      <c r="L103" s="383">
        <v>9</v>
      </c>
      <c r="M103" s="501" t="s">
        <v>352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43"/>
      <c r="W103" s="567"/>
      <c r="X103" s="760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58"/>
      <c r="J104" s="732"/>
      <c r="K104" s="365"/>
      <c r="L104" s="317">
        <v>9</v>
      </c>
      <c r="M104" s="441" t="s">
        <v>352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44"/>
      <c r="W104" s="568"/>
      <c r="X104" s="761"/>
      <c r="Y104" s="482"/>
    </row>
    <row r="105" spans="1:25" ht="14.45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354</v>
      </c>
      <c r="D106" s="271" t="s">
        <v>277</v>
      </c>
      <c r="E106" s="272"/>
      <c r="F106" s="470"/>
      <c r="G106" s="339">
        <f>D181</f>
        <v>8500</v>
      </c>
      <c r="H106" s="577">
        <f>H94</f>
        <v>45890</v>
      </c>
      <c r="I106" s="736">
        <f>SUM(G106:G120)</f>
        <v>76280.033333333326</v>
      </c>
      <c r="J106" s="736">
        <f>F181+F184+F185+F183+F182</f>
        <v>89741.215686274503</v>
      </c>
      <c r="K106" s="340"/>
      <c r="L106" s="270">
        <v>10</v>
      </c>
      <c r="M106" s="434" t="s">
        <v>355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62">
        <f>J106-SUM(U106:U120)</f>
        <v>0</v>
      </c>
      <c r="W106" s="577"/>
      <c r="X106" s="739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278</v>
      </c>
      <c r="E107" s="343"/>
      <c r="F107" s="471"/>
      <c r="G107" s="344">
        <f>D185</f>
        <v>24446.699999999997</v>
      </c>
      <c r="H107" s="578">
        <f>H106</f>
        <v>45890</v>
      </c>
      <c r="I107" s="737"/>
      <c r="J107" s="737"/>
      <c r="K107" s="273"/>
      <c r="L107" s="341">
        <v>10</v>
      </c>
      <c r="M107" s="435" t="s">
        <v>355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63"/>
      <c r="W107" s="578"/>
      <c r="X107" s="740"/>
      <c r="Y107" s="482"/>
    </row>
    <row r="108" spans="1:25" ht="14.25" customHeight="1">
      <c r="B108" s="341">
        <v>10</v>
      </c>
      <c r="C108" s="342"/>
      <c r="D108" s="342" t="s">
        <v>356</v>
      </c>
      <c r="E108" s="343"/>
      <c r="F108" s="471"/>
      <c r="G108" s="344">
        <f>D184</f>
        <v>38400</v>
      </c>
      <c r="H108" s="578">
        <f>H107</f>
        <v>45890</v>
      </c>
      <c r="I108" s="737"/>
      <c r="J108" s="737"/>
      <c r="K108" s="273"/>
      <c r="L108" s="341">
        <v>10</v>
      </c>
      <c r="M108" s="435" t="s">
        <v>355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63"/>
      <c r="W108" s="578"/>
      <c r="X108" s="740"/>
      <c r="Y108" s="482"/>
    </row>
    <row r="109" spans="1:25" ht="14.25" customHeight="1">
      <c r="B109" s="341">
        <v>10</v>
      </c>
      <c r="C109" s="342"/>
      <c r="D109" s="342" t="s">
        <v>279</v>
      </c>
      <c r="E109" s="343"/>
      <c r="F109" s="471"/>
      <c r="G109" s="344">
        <f>D183</f>
        <v>4933.333333333333</v>
      </c>
      <c r="H109" s="578">
        <f>H108</f>
        <v>45890</v>
      </c>
      <c r="I109" s="737"/>
      <c r="J109" s="737"/>
      <c r="K109" s="273"/>
      <c r="L109" s="341">
        <v>10</v>
      </c>
      <c r="M109" s="435" t="s">
        <v>355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63"/>
      <c r="W109" s="578"/>
      <c r="X109" s="740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37"/>
      <c r="J110" s="737"/>
      <c r="K110" s="273"/>
      <c r="L110" s="341">
        <v>10</v>
      </c>
      <c r="M110" s="435" t="s">
        <v>355</v>
      </c>
      <c r="N110" s="342" t="s">
        <v>304</v>
      </c>
      <c r="O110" s="613">
        <f>SUM(Z33:Z37)</f>
        <v>161120</v>
      </c>
      <c r="P110" s="565">
        <v>0.1</v>
      </c>
      <c r="Q110" s="344">
        <f>$O$110*P110</f>
        <v>16112</v>
      </c>
      <c r="R110" s="768" t="s">
        <v>305</v>
      </c>
      <c r="S110" s="633" t="s">
        <v>306</v>
      </c>
      <c r="T110" s="661">
        <v>45900</v>
      </c>
      <c r="U110" s="667">
        <v>8974.12156862745</v>
      </c>
      <c r="V110" s="763"/>
      <c r="W110" s="540">
        <f>W94</f>
        <v>45890</v>
      </c>
      <c r="X110" s="740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37"/>
      <c r="J111" s="737"/>
      <c r="K111" s="273"/>
      <c r="L111" s="341">
        <v>10</v>
      </c>
      <c r="M111" s="435" t="s">
        <v>355</v>
      </c>
      <c r="N111" s="342" t="s">
        <v>101</v>
      </c>
      <c r="O111" s="558"/>
      <c r="P111" s="565">
        <v>0.15</v>
      </c>
      <c r="Q111" s="344">
        <f t="shared" ref="Q111:Q117" si="8">$O$110*P111</f>
        <v>24168</v>
      </c>
      <c r="R111" s="769"/>
      <c r="S111" s="638" t="s">
        <v>306</v>
      </c>
      <c r="T111" s="661">
        <v>45900</v>
      </c>
      <c r="U111" s="667">
        <v>13461.182352941176</v>
      </c>
      <c r="V111" s="763"/>
      <c r="W111" s="540">
        <v>45905</v>
      </c>
      <c r="X111" s="740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37"/>
      <c r="J112" s="737"/>
      <c r="K112" s="273"/>
      <c r="L112" s="341">
        <v>10</v>
      </c>
      <c r="M112" s="435" t="s">
        <v>355</v>
      </c>
      <c r="N112" s="342" t="s">
        <v>309</v>
      </c>
      <c r="O112" s="558"/>
      <c r="P112" s="565">
        <v>0.2</v>
      </c>
      <c r="Q112" s="344">
        <f t="shared" si="8"/>
        <v>32224</v>
      </c>
      <c r="R112" s="769"/>
      <c r="S112" s="633" t="s">
        <v>306</v>
      </c>
      <c r="T112" s="661">
        <v>45900</v>
      </c>
      <c r="U112" s="667">
        <v>17948.2431372549</v>
      </c>
      <c r="V112" s="763"/>
      <c r="W112" s="540">
        <f t="shared" ref="W112:W117" si="9">W96</f>
        <v>45967</v>
      </c>
      <c r="X112" s="740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37"/>
      <c r="J113" s="737"/>
      <c r="K113" s="273"/>
      <c r="L113" s="341">
        <v>10</v>
      </c>
      <c r="M113" s="435" t="s">
        <v>355</v>
      </c>
      <c r="N113" s="342" t="s">
        <v>311</v>
      </c>
      <c r="O113" s="558"/>
      <c r="P113" s="565">
        <v>0.25</v>
      </c>
      <c r="Q113" s="344">
        <f t="shared" si="8"/>
        <v>40280</v>
      </c>
      <c r="R113" s="769"/>
      <c r="S113" s="633" t="s">
        <v>306</v>
      </c>
      <c r="T113" s="661">
        <v>45900</v>
      </c>
      <c r="U113" s="667">
        <v>22435.303921568626</v>
      </c>
      <c r="V113" s="763"/>
      <c r="W113" s="687">
        <v>45995</v>
      </c>
      <c r="X113" s="740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37"/>
      <c r="J114" s="737"/>
      <c r="K114" s="273"/>
      <c r="L114" s="341">
        <v>10</v>
      </c>
      <c r="M114" s="435" t="s">
        <v>355</v>
      </c>
      <c r="N114" s="342" t="s">
        <v>312</v>
      </c>
      <c r="O114" s="558"/>
      <c r="P114" s="565">
        <v>0.1</v>
      </c>
      <c r="Q114" s="344">
        <f t="shared" si="8"/>
        <v>16112</v>
      </c>
      <c r="R114" s="769"/>
      <c r="S114" s="633" t="s">
        <v>306</v>
      </c>
      <c r="T114" s="661">
        <v>45900</v>
      </c>
      <c r="U114" s="667">
        <v>8974.12156862745</v>
      </c>
      <c r="V114" s="763"/>
      <c r="W114" s="687">
        <f t="shared" si="9"/>
        <v>46015</v>
      </c>
      <c r="X114" s="740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37"/>
      <c r="J115" s="737"/>
      <c r="K115" s="273"/>
      <c r="L115" s="341">
        <v>10</v>
      </c>
      <c r="M115" s="435" t="s">
        <v>355</v>
      </c>
      <c r="N115" s="342" t="s">
        <v>313</v>
      </c>
      <c r="O115" s="558"/>
      <c r="P115" s="565">
        <v>0.1</v>
      </c>
      <c r="Q115" s="344">
        <f t="shared" si="8"/>
        <v>16112</v>
      </c>
      <c r="R115" s="769"/>
      <c r="S115" s="633" t="s">
        <v>306</v>
      </c>
      <c r="T115" s="661">
        <v>45900</v>
      </c>
      <c r="U115" s="667">
        <v>8974.12156862745</v>
      </c>
      <c r="V115" s="763"/>
      <c r="W115" s="687">
        <f t="shared" si="9"/>
        <v>46015</v>
      </c>
      <c r="X115" s="740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37"/>
      <c r="J116" s="737"/>
      <c r="K116" s="273"/>
      <c r="L116" s="341">
        <v>10</v>
      </c>
      <c r="M116" s="435" t="s">
        <v>355</v>
      </c>
      <c r="N116" s="342" t="s">
        <v>314</v>
      </c>
      <c r="O116" s="558"/>
      <c r="P116" s="565">
        <v>0.05</v>
      </c>
      <c r="Q116" s="344">
        <f t="shared" si="8"/>
        <v>8056</v>
      </c>
      <c r="R116" s="769"/>
      <c r="S116" s="633" t="s">
        <v>306</v>
      </c>
      <c r="T116" s="661">
        <v>45900</v>
      </c>
      <c r="U116" s="667">
        <v>4487.060784313725</v>
      </c>
      <c r="V116" s="763"/>
      <c r="W116" s="540">
        <f t="shared" si="9"/>
        <v>46051</v>
      </c>
      <c r="X116" s="740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37"/>
      <c r="J117" s="737"/>
      <c r="K117" s="273"/>
      <c r="L117" s="341">
        <v>10</v>
      </c>
      <c r="M117" s="435" t="s">
        <v>355</v>
      </c>
      <c r="N117" s="342" t="s">
        <v>315</v>
      </c>
      <c r="O117" s="558"/>
      <c r="P117" s="565">
        <v>0.05</v>
      </c>
      <c r="Q117" s="344">
        <f t="shared" si="8"/>
        <v>8056</v>
      </c>
      <c r="R117" s="770"/>
      <c r="S117" s="633" t="s">
        <v>306</v>
      </c>
      <c r="T117" s="661">
        <v>45900</v>
      </c>
      <c r="U117" s="667">
        <v>4487.060784313725</v>
      </c>
      <c r="V117" s="763"/>
      <c r="W117" s="579">
        <f t="shared" si="9"/>
        <v>46081</v>
      </c>
      <c r="X117" s="740"/>
      <c r="Y117" s="482"/>
    </row>
    <row r="118" spans="1:25" ht="14.25" customHeight="1">
      <c r="B118" s="341">
        <v>10</v>
      </c>
      <c r="C118" s="342"/>
      <c r="D118" s="342"/>
      <c r="E118" s="343"/>
      <c r="F118" s="471"/>
      <c r="G118" s="344"/>
      <c r="H118" s="579"/>
      <c r="I118" s="737"/>
      <c r="J118" s="737"/>
      <c r="K118" s="273"/>
      <c r="L118" s="341">
        <v>10</v>
      </c>
      <c r="M118" s="435" t="s">
        <v>355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63"/>
      <c r="W118" s="579"/>
      <c r="X118" s="740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37"/>
      <c r="J119" s="737"/>
      <c r="K119" s="273"/>
      <c r="L119" s="341">
        <v>10</v>
      </c>
      <c r="M119" s="435" t="s">
        <v>355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63"/>
      <c r="W119" s="579"/>
      <c r="X119" s="740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38"/>
      <c r="J120" s="738"/>
      <c r="K120" s="276"/>
      <c r="L120" s="274">
        <v>10</v>
      </c>
      <c r="M120" s="436" t="s">
        <v>355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64"/>
      <c r="W120" s="580"/>
      <c r="X120" s="741"/>
      <c r="Y120" s="482"/>
    </row>
    <row r="121" spans="1:25" ht="14.45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357</v>
      </c>
      <c r="D122" s="352" t="s">
        <v>358</v>
      </c>
      <c r="E122" s="284"/>
      <c r="F122" s="437"/>
      <c r="G122" s="285">
        <v>11000</v>
      </c>
      <c r="H122" s="573">
        <f>H93</f>
        <v>45890</v>
      </c>
      <c r="I122" s="730">
        <f>SUM(G122:G126)</f>
        <v>89000</v>
      </c>
      <c r="J122" s="730">
        <f>F180</f>
        <v>104705.88235294117</v>
      </c>
      <c r="K122" s="286"/>
      <c r="L122" s="282">
        <v>11</v>
      </c>
      <c r="M122" s="352" t="s">
        <v>359</v>
      </c>
      <c r="N122" s="352" t="s">
        <v>358</v>
      </c>
      <c r="O122" s="284"/>
      <c r="P122" s="437"/>
      <c r="Q122" s="285">
        <v>8374.7000000000007</v>
      </c>
      <c r="R122" s="589"/>
      <c r="S122" s="626" t="s">
        <v>360</v>
      </c>
      <c r="T122" s="652">
        <v>45869</v>
      </c>
      <c r="U122" s="659">
        <v>10934.470552161069</v>
      </c>
      <c r="V122" s="742">
        <f>J122-SUM(U122:U126)</f>
        <v>-4.6609903365606442E-3</v>
      </c>
      <c r="W122" s="538">
        <v>46052</v>
      </c>
      <c r="X122" s="733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361</v>
      </c>
      <c r="E123" s="315"/>
      <c r="F123" s="459"/>
      <c r="G123" s="316">
        <v>18000</v>
      </c>
      <c r="H123" s="534">
        <f>H122</f>
        <v>45890</v>
      </c>
      <c r="I123" s="731"/>
      <c r="J123" s="731"/>
      <c r="K123" s="289"/>
      <c r="L123" s="312">
        <v>11</v>
      </c>
      <c r="M123" s="389" t="s">
        <v>359</v>
      </c>
      <c r="N123" s="314" t="s">
        <v>362</v>
      </c>
      <c r="O123" s="315"/>
      <c r="P123" s="459"/>
      <c r="Q123" s="316">
        <v>5819.43</v>
      </c>
      <c r="R123" s="636"/>
      <c r="S123" s="619" t="s">
        <v>363</v>
      </c>
      <c r="T123" s="646">
        <v>45869</v>
      </c>
      <c r="U123" s="655">
        <v>7598.1690049031822</v>
      </c>
      <c r="V123" s="743"/>
      <c r="W123" s="534">
        <v>45526</v>
      </c>
      <c r="X123" s="734"/>
      <c r="Y123" s="482"/>
    </row>
    <row r="124" spans="1:25" ht="15" customHeight="1">
      <c r="B124" s="312">
        <v>11</v>
      </c>
      <c r="C124" s="314"/>
      <c r="D124" s="314" t="s">
        <v>364</v>
      </c>
      <c r="E124" s="315"/>
      <c r="F124" s="459"/>
      <c r="G124" s="316">
        <v>60000</v>
      </c>
      <c r="H124" s="566">
        <f>H123</f>
        <v>45890</v>
      </c>
      <c r="I124" s="731"/>
      <c r="J124" s="731"/>
      <c r="K124" s="289"/>
      <c r="L124" s="312">
        <v>11</v>
      </c>
      <c r="M124" s="389" t="s">
        <v>359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43"/>
      <c r="W124" s="566"/>
      <c r="X124" s="734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1"/>
      <c r="J125" s="731"/>
      <c r="K125" s="289"/>
      <c r="L125" s="312">
        <v>11</v>
      </c>
      <c r="M125" s="389" t="s">
        <v>359</v>
      </c>
      <c r="N125" s="387" t="s">
        <v>365</v>
      </c>
      <c r="O125" s="547"/>
      <c r="P125" s="444"/>
      <c r="Q125" s="386">
        <v>6000</v>
      </c>
      <c r="R125" s="583"/>
      <c r="S125" s="620" t="s">
        <v>366</v>
      </c>
      <c r="T125" s="646">
        <v>45900</v>
      </c>
      <c r="U125" s="655">
        <v>86173.247456867262</v>
      </c>
      <c r="V125" s="743"/>
      <c r="W125" s="535">
        <v>45900</v>
      </c>
      <c r="X125" s="734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2"/>
      <c r="J126" s="732"/>
      <c r="K126" s="290"/>
      <c r="L126" s="317">
        <v>11</v>
      </c>
      <c r="M126" s="419" t="s">
        <v>359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44"/>
      <c r="W126" s="568"/>
      <c r="X126" s="735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367</v>
      </c>
      <c r="D128" s="271"/>
      <c r="E128" s="272"/>
      <c r="F128" s="470"/>
      <c r="G128" s="339"/>
      <c r="H128" s="577"/>
      <c r="I128" s="736">
        <f>SUM(G128:G129)</f>
        <v>0</v>
      </c>
      <c r="J128" s="736">
        <v>0</v>
      </c>
      <c r="K128" s="748"/>
      <c r="L128" s="270">
        <v>12</v>
      </c>
      <c r="M128" s="271" t="s">
        <v>368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39">
        <f>SUM(Q128:Q129)</f>
        <v>0</v>
      </c>
      <c r="Y128" s="482"/>
    </row>
    <row r="129" spans="1:25" ht="15" customHeight="1" thickBot="1">
      <c r="B129" s="274">
        <v>12</v>
      </c>
      <c r="C129" s="345" t="s">
        <v>367</v>
      </c>
      <c r="D129" s="345"/>
      <c r="E129" s="346"/>
      <c r="F129" s="472"/>
      <c r="G129" s="275"/>
      <c r="H129" s="580"/>
      <c r="I129" s="738"/>
      <c r="J129" s="738"/>
      <c r="K129" s="749"/>
      <c r="L129" s="274">
        <v>12</v>
      </c>
      <c r="M129" s="345" t="s">
        <v>368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41"/>
      <c r="Y129" s="482"/>
    </row>
    <row r="130" spans="1:25" ht="14.45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369</v>
      </c>
      <c r="D131" s="352" t="s">
        <v>370</v>
      </c>
      <c r="E131" s="284"/>
      <c r="F131" s="437"/>
      <c r="G131" s="285">
        <v>18042.559824275362</v>
      </c>
      <c r="H131" s="668">
        <v>45900</v>
      </c>
      <c r="I131" s="730">
        <f>SUM(G131:G135)</f>
        <v>115920.47982427536</v>
      </c>
      <c r="J131" s="730">
        <f>F179</f>
        <v>131727.81798213109</v>
      </c>
      <c r="K131" s="286"/>
      <c r="L131" s="282">
        <v>13</v>
      </c>
      <c r="M131" s="352" t="s">
        <v>371</v>
      </c>
      <c r="N131" s="352" t="s">
        <v>372</v>
      </c>
      <c r="O131" s="545"/>
      <c r="P131" s="437"/>
      <c r="Q131" s="285">
        <f>'Project Plan'!$E$6*1.25%</f>
        <v>22399.259250000003</v>
      </c>
      <c r="R131" s="589"/>
      <c r="S131" s="626" t="s">
        <v>373</v>
      </c>
      <c r="T131" s="665">
        <v>45900</v>
      </c>
      <c r="U131" s="659">
        <v>131727.81798213109</v>
      </c>
      <c r="V131" s="742">
        <f>J131-SUM(U131:U136)</f>
        <v>0</v>
      </c>
      <c r="W131" s="668">
        <v>45900</v>
      </c>
      <c r="X131" s="733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1"/>
      <c r="J132" s="731"/>
      <c r="K132" s="289"/>
      <c r="L132" s="312">
        <v>13</v>
      </c>
      <c r="M132" s="389" t="s">
        <v>371</v>
      </c>
      <c r="N132" s="314" t="s">
        <v>374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43"/>
      <c r="W132" s="566"/>
      <c r="X132" s="734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1"/>
      <c r="J133" s="731"/>
      <c r="K133" s="289"/>
      <c r="L133" s="312">
        <v>13</v>
      </c>
      <c r="M133" s="389" t="s">
        <v>371</v>
      </c>
      <c r="N133" s="314" t="s">
        <v>375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43"/>
      <c r="W133" s="566"/>
      <c r="X133" s="734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1"/>
      <c r="J134" s="731"/>
      <c r="K134" s="289"/>
      <c r="L134" s="312">
        <v>13</v>
      </c>
      <c r="M134" s="389" t="s">
        <v>371</v>
      </c>
      <c r="N134" s="314" t="s">
        <v>376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43"/>
      <c r="W134" s="566"/>
      <c r="X134" s="734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1"/>
      <c r="J135" s="731"/>
      <c r="K135" s="289"/>
      <c r="L135" s="312">
        <v>13</v>
      </c>
      <c r="M135" s="389" t="s">
        <v>371</v>
      </c>
      <c r="N135" s="314" t="s">
        <v>377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43"/>
      <c r="W135" s="566"/>
      <c r="X135" s="734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2"/>
      <c r="J136" s="732"/>
      <c r="K136" s="365"/>
      <c r="L136" s="317">
        <v>13</v>
      </c>
      <c r="M136" s="419" t="s">
        <v>371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44"/>
      <c r="W136" s="568"/>
      <c r="X136" s="735"/>
      <c r="Y136" s="482"/>
    </row>
    <row r="137" spans="1:25" ht="14.45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378</v>
      </c>
      <c r="D138" s="271" t="s">
        <v>379</v>
      </c>
      <c r="E138" s="272"/>
      <c r="F138" s="470"/>
      <c r="G138" s="339">
        <f>D190</f>
        <v>2800</v>
      </c>
      <c r="H138" s="540">
        <v>45905</v>
      </c>
      <c r="I138" s="736">
        <f>SUM(G138:G149)</f>
        <v>2800</v>
      </c>
      <c r="J138" s="736">
        <f>F190</f>
        <v>3294.1176470588234</v>
      </c>
      <c r="K138" s="340"/>
      <c r="L138" s="270">
        <v>14</v>
      </c>
      <c r="M138" s="434" t="s">
        <v>380</v>
      </c>
      <c r="N138" s="271" t="s">
        <v>381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45">
        <f>J138-SUM(U138:U149)</f>
        <v>0</v>
      </c>
      <c r="W138" s="687">
        <v>45905</v>
      </c>
      <c r="X138" s="739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37"/>
      <c r="J139" s="737"/>
      <c r="K139" s="273"/>
      <c r="L139" s="341">
        <v>14</v>
      </c>
      <c r="M139" s="435" t="s">
        <v>380</v>
      </c>
      <c r="N139" s="342" t="s">
        <v>381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46"/>
      <c r="W139" s="687">
        <v>45930</v>
      </c>
      <c r="X139" s="740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37"/>
      <c r="J140" s="737"/>
      <c r="K140" s="273"/>
      <c r="L140" s="341">
        <v>14</v>
      </c>
      <c r="M140" s="435" t="s">
        <v>380</v>
      </c>
      <c r="N140" s="342" t="s">
        <v>381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46"/>
      <c r="W140" s="687">
        <v>45961</v>
      </c>
      <c r="X140" s="740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37"/>
      <c r="J141" s="737"/>
      <c r="K141" s="273"/>
      <c r="L141" s="341">
        <v>14</v>
      </c>
      <c r="M141" s="435" t="s">
        <v>380</v>
      </c>
      <c r="N141" s="342" t="s">
        <v>381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46"/>
      <c r="W141" s="687">
        <v>45991</v>
      </c>
      <c r="X141" s="740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37"/>
      <c r="J142" s="737"/>
      <c r="K142" s="273"/>
      <c r="L142" s="341">
        <v>14</v>
      </c>
      <c r="M142" s="435" t="s">
        <v>380</v>
      </c>
      <c r="N142" s="342" t="s">
        <v>381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46"/>
      <c r="W142" s="687"/>
      <c r="X142" s="740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37"/>
      <c r="J143" s="737"/>
      <c r="K143" s="273"/>
      <c r="L143" s="341">
        <v>14</v>
      </c>
      <c r="M143" s="435" t="s">
        <v>380</v>
      </c>
      <c r="N143" s="342" t="s">
        <v>381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46"/>
      <c r="W143" s="687"/>
      <c r="X143" s="740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37"/>
      <c r="J144" s="737"/>
      <c r="K144" s="273"/>
      <c r="L144" s="341">
        <v>14</v>
      </c>
      <c r="M144" s="435" t="s">
        <v>380</v>
      </c>
      <c r="N144" s="342" t="s">
        <v>381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46"/>
      <c r="W144" s="687"/>
      <c r="X144" s="740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37"/>
      <c r="J145" s="737"/>
      <c r="K145" s="273"/>
      <c r="L145" s="341">
        <v>14</v>
      </c>
      <c r="M145" s="435" t="s">
        <v>380</v>
      </c>
      <c r="N145" s="342" t="s">
        <v>381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46"/>
      <c r="W145" s="687"/>
      <c r="X145" s="740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37"/>
      <c r="J146" s="737"/>
      <c r="K146" s="273"/>
      <c r="L146" s="341">
        <v>14</v>
      </c>
      <c r="M146" s="435" t="s">
        <v>380</v>
      </c>
      <c r="N146" s="342" t="s">
        <v>381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46"/>
      <c r="W146" s="687"/>
      <c r="X146" s="740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37"/>
      <c r="J147" s="737"/>
      <c r="K147" s="273"/>
      <c r="L147" s="341">
        <v>14</v>
      </c>
      <c r="M147" s="435" t="s">
        <v>380</v>
      </c>
      <c r="N147" s="342" t="s">
        <v>381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46"/>
      <c r="W147" s="687"/>
      <c r="X147" s="740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37"/>
      <c r="J148" s="737"/>
      <c r="K148" s="273"/>
      <c r="L148" s="341">
        <v>14</v>
      </c>
      <c r="M148" s="435" t="s">
        <v>380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46"/>
      <c r="W148" s="687"/>
      <c r="X148" s="740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38"/>
      <c r="J149" s="738"/>
      <c r="K149" s="276"/>
      <c r="L149" s="274">
        <v>14</v>
      </c>
      <c r="M149" s="436" t="s">
        <v>380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47"/>
      <c r="W149" s="699"/>
      <c r="X149" s="741"/>
      <c r="Y149" s="482"/>
    </row>
    <row r="150" spans="1:25" ht="14.45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382</v>
      </c>
      <c r="D151" s="283"/>
      <c r="E151" s="284"/>
      <c r="F151" s="437"/>
      <c r="G151" s="285"/>
      <c r="H151" s="573"/>
      <c r="I151" s="730">
        <f>SUM(G151:G162)</f>
        <v>0</v>
      </c>
      <c r="J151" s="730">
        <f>F187</f>
        <v>0</v>
      </c>
      <c r="K151" s="286"/>
      <c r="L151" s="282">
        <v>15</v>
      </c>
      <c r="M151" s="352" t="s">
        <v>383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2">
        <v>0</v>
      </c>
      <c r="W151" s="573"/>
      <c r="X151" s="733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1"/>
      <c r="J152" s="731"/>
      <c r="K152" s="289"/>
      <c r="L152" s="312">
        <v>15</v>
      </c>
      <c r="M152" s="389" t="s">
        <v>383</v>
      </c>
      <c r="N152" s="314"/>
      <c r="O152" s="546"/>
      <c r="P152" s="459"/>
      <c r="Q152" s="316"/>
      <c r="R152" s="582"/>
      <c r="S152" s="619"/>
      <c r="T152" s="517"/>
      <c r="U152" s="502"/>
      <c r="V152" s="743"/>
      <c r="W152" s="566"/>
      <c r="X152" s="734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1"/>
      <c r="J153" s="731"/>
      <c r="K153" s="289"/>
      <c r="L153" s="312">
        <v>15</v>
      </c>
      <c r="M153" s="389" t="s">
        <v>383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43"/>
      <c r="W153" s="566"/>
      <c r="X153" s="734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1"/>
      <c r="J154" s="731"/>
      <c r="K154" s="289"/>
      <c r="L154" s="312">
        <v>15</v>
      </c>
      <c r="M154" s="389" t="s">
        <v>383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43"/>
      <c r="W154" s="566"/>
      <c r="X154" s="734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1"/>
      <c r="J155" s="731"/>
      <c r="K155" s="289"/>
      <c r="L155" s="312">
        <v>15</v>
      </c>
      <c r="M155" s="389" t="s">
        <v>383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43"/>
      <c r="W155" s="566"/>
      <c r="X155" s="734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1"/>
      <c r="J156" s="731"/>
      <c r="K156" s="289"/>
      <c r="L156" s="312">
        <v>15</v>
      </c>
      <c r="M156" s="389" t="s">
        <v>383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43"/>
      <c r="W156" s="566"/>
      <c r="X156" s="734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1"/>
      <c r="J157" s="731"/>
      <c r="K157" s="289"/>
      <c r="L157" s="312">
        <v>15</v>
      </c>
      <c r="M157" s="389" t="s">
        <v>383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43"/>
      <c r="W157" s="566"/>
      <c r="X157" s="734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1"/>
      <c r="J158" s="731"/>
      <c r="K158" s="289"/>
      <c r="L158" s="312">
        <v>15</v>
      </c>
      <c r="M158" s="389" t="s">
        <v>383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43"/>
      <c r="W158" s="566"/>
      <c r="X158" s="734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1"/>
      <c r="J159" s="731"/>
      <c r="K159" s="289"/>
      <c r="L159" s="312">
        <v>15</v>
      </c>
      <c r="M159" s="389" t="s">
        <v>383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43"/>
      <c r="W159" s="566"/>
      <c r="X159" s="734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1"/>
      <c r="J160" s="731"/>
      <c r="K160" s="289"/>
      <c r="L160" s="312">
        <v>15</v>
      </c>
      <c r="M160" s="389" t="s">
        <v>383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43"/>
      <c r="W160" s="566"/>
      <c r="X160" s="734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1"/>
      <c r="J161" s="731"/>
      <c r="K161" s="289"/>
      <c r="L161" s="312">
        <v>15</v>
      </c>
      <c r="M161" s="389" t="s">
        <v>383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43"/>
      <c r="W161" s="566"/>
      <c r="X161" s="734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2"/>
      <c r="J162" s="732"/>
      <c r="K162" s="290"/>
      <c r="L162" s="317">
        <v>15</v>
      </c>
      <c r="M162" s="419" t="s">
        <v>383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44"/>
      <c r="W162" s="568"/>
      <c r="X162" s="735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384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385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386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299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334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317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387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388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389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390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391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392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393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394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395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396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397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398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399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400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401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402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389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403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404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30:I44"/>
    <mergeCell ref="J30:J44"/>
    <mergeCell ref="X30:X44"/>
    <mergeCell ref="I13:I21"/>
    <mergeCell ref="J13:J21"/>
    <mergeCell ref="X13:X21"/>
    <mergeCell ref="I23:I28"/>
    <mergeCell ref="J23:J28"/>
    <mergeCell ref="B2:G2"/>
    <mergeCell ref="L2:Q2"/>
    <mergeCell ref="I6:I11"/>
    <mergeCell ref="J6:J11"/>
    <mergeCell ref="R2:W2"/>
    <mergeCell ref="X6:X11"/>
    <mergeCell ref="V6:V11"/>
    <mergeCell ref="V13:V21"/>
    <mergeCell ref="V23:V28"/>
    <mergeCell ref="V30:V44"/>
    <mergeCell ref="X23:X28"/>
    <mergeCell ref="X55:X72"/>
    <mergeCell ref="I74:I81"/>
    <mergeCell ref="J74:J81"/>
    <mergeCell ref="V74:V81"/>
    <mergeCell ref="X74:X81"/>
    <mergeCell ref="I106:I120"/>
    <mergeCell ref="J106:J120"/>
    <mergeCell ref="I46:I53"/>
    <mergeCell ref="J46:J53"/>
    <mergeCell ref="J55:J72"/>
    <mergeCell ref="R94:R101"/>
    <mergeCell ref="V46:V53"/>
    <mergeCell ref="V55:V72"/>
    <mergeCell ref="R61:R69"/>
    <mergeCell ref="R34:R41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I128:I129"/>
    <mergeCell ref="J128:J129"/>
    <mergeCell ref="K128:K129"/>
    <mergeCell ref="X128:X129"/>
    <mergeCell ref="V122:V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405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406</v>
      </c>
      <c r="B2" s="193"/>
      <c r="C2" s="194" t="s">
        <v>251</v>
      </c>
      <c r="D2" s="194" t="s">
        <v>251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168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407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170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408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409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165</v>
      </c>
      <c r="B8" s="193"/>
      <c r="C8" s="194" t="s">
        <v>251</v>
      </c>
      <c r="D8" s="194" t="s">
        <v>251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410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411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412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413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1719972.4442499999</v>
      </c>
      <c r="BF12" s="215">
        <f t="shared" si="26"/>
        <v>1719972.4442499999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1775614.8767499998</v>
      </c>
      <c r="BJ12" s="215">
        <f t="shared" si="26"/>
        <v>1775614.8767499998</v>
      </c>
      <c r="BK12" s="215">
        <f t="shared" si="26"/>
        <v>1822882.6092499997</v>
      </c>
      <c r="BL12" s="215">
        <f t="shared" si="26"/>
        <v>1822882.6092499997</v>
      </c>
      <c r="BM12" s="215">
        <f t="shared" si="26"/>
        <v>1822882.6092499997</v>
      </c>
      <c r="BN12" s="215">
        <f t="shared" si="26"/>
        <v>1822882.6092499997</v>
      </c>
      <c r="BO12" s="215">
        <f t="shared" si="26"/>
        <v>1822882.6092499997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414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-17628.74124999973</v>
      </c>
      <c r="BF14" s="208">
        <f t="shared" si="32"/>
        <v>-17628.74124999973</v>
      </c>
      <c r="BG14" s="208">
        <f t="shared" si="32"/>
        <v>16325.863250000402</v>
      </c>
      <c r="BH14" s="208">
        <f t="shared" si="32"/>
        <v>16325.863250000402</v>
      </c>
      <c r="BI14" s="208">
        <f t="shared" si="32"/>
        <v>16325.863250000402</v>
      </c>
      <c r="BJ14" s="208">
        <f t="shared" si="32"/>
        <v>16325.863250000402</v>
      </c>
      <c r="BK14" s="208">
        <f t="shared" si="32"/>
        <v>-30941.869249999523</v>
      </c>
      <c r="BL14" s="208">
        <f t="shared" si="32"/>
        <v>-30941.869249999523</v>
      </c>
      <c r="BM14" s="208">
        <f t="shared" si="32"/>
        <v>-30941.869249999523</v>
      </c>
      <c r="BN14" s="208">
        <f t="shared" si="32"/>
        <v>-30941.869249999523</v>
      </c>
      <c r="BO14" s="208">
        <f t="shared" si="32"/>
        <v>-30941.869249999523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251</v>
      </c>
      <c r="D16" s="194" t="s">
        <v>251</v>
      </c>
    </row>
    <row r="17" spans="1:316">
      <c r="A17" s="792"/>
      <c r="B17" s="196" t="s">
        <v>415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416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5" sqref="H15"/>
    </sheetView>
  </sheetViews>
  <sheetFormatPr defaultColWidth="12.42578125" defaultRowHeight="14.45"/>
  <cols>
    <col min="1" max="1" width="39.42578125" style="367" bestFit="1" customWidth="1"/>
    <col min="2" max="2" width="17.140625" style="368" bestFit="1" customWidth="1"/>
    <col min="3" max="3" width="13.140625" style="367" bestFit="1" customWidth="1"/>
    <col min="4" max="4" width="14.85546875" style="367" bestFit="1" customWidth="1"/>
    <col min="5" max="5" width="10.5703125" style="367" bestFit="1" customWidth="1"/>
    <col min="6" max="7" width="11.85546875" style="367" bestFit="1" customWidth="1"/>
    <col min="8" max="8" width="4.85546875" style="367" bestFit="1" customWidth="1"/>
    <col min="9" max="9" width="10.5703125" style="367" bestFit="1" customWidth="1"/>
    <col min="10" max="10" width="14.85546875" style="367" bestFit="1" customWidth="1"/>
    <col min="11" max="11" width="11.42578125" style="367" bestFit="1" customWidth="1"/>
    <col min="12" max="12" width="6" style="367" bestFit="1" customWidth="1"/>
    <col min="13" max="13" width="14.4257812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42578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417</v>
      </c>
      <c r="B3" s="446" t="s">
        <v>418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419</v>
      </c>
      <c r="B4" t="s">
        <v>420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421</v>
      </c>
      <c r="K4"/>
      <c r="L4"/>
      <c r="M4"/>
      <c r="N4"/>
      <c r="O4"/>
      <c r="P4"/>
      <c r="Q4"/>
      <c r="R4"/>
      <c r="S4"/>
      <c r="T4"/>
    </row>
    <row r="5" spans="1:20">
      <c r="A5" s="447" t="s">
        <v>420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254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263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283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296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318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335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345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352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355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359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371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380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383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368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343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421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1" sqref="H11"/>
    </sheetView>
  </sheetViews>
  <sheetFormatPr defaultColWidth="8.42578125" defaultRowHeight="14.45"/>
  <cols>
    <col min="1" max="1" width="21.85546875" bestFit="1" customWidth="1"/>
    <col min="2" max="2" width="17.140625" style="407" bestFit="1" customWidth="1"/>
    <col min="3" max="3" width="13.140625" style="407" bestFit="1" customWidth="1"/>
    <col min="4" max="4" width="14.85546875" style="407" bestFit="1" customWidth="1"/>
    <col min="5" max="5" width="12.140625" style="407" bestFit="1" customWidth="1"/>
    <col min="6" max="6" width="11.85546875" style="407" bestFit="1" customWidth="1"/>
    <col min="7" max="7" width="12" style="407" bestFit="1" customWidth="1"/>
    <col min="8" max="8" width="11.5703125" style="407" bestFit="1" customWidth="1"/>
    <col min="9" max="9" width="12.140625" style="407" bestFit="1" customWidth="1"/>
    <col min="10" max="10" width="14.85546875" bestFit="1" customWidth="1"/>
    <col min="11" max="11" width="14.4257812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446" t="s">
        <v>422</v>
      </c>
      <c r="B3" s="446" t="s">
        <v>418</v>
      </c>
      <c r="C3"/>
      <c r="D3"/>
      <c r="E3"/>
      <c r="F3"/>
      <c r="G3"/>
      <c r="H3"/>
      <c r="I3"/>
    </row>
    <row r="4" spans="1:11">
      <c r="A4" s="446" t="s">
        <v>419</v>
      </c>
      <c r="B4" t="s">
        <v>420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421</v>
      </c>
    </row>
    <row r="5" spans="1:11">
      <c r="A5" s="447" t="s">
        <v>420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254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263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283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296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318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335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345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352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355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359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371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380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383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368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343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421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795" t="s">
        <v>423</v>
      </c>
      <c r="C2" s="795"/>
      <c r="D2" s="795"/>
      <c r="E2" s="795"/>
      <c r="H2" s="796" t="s">
        <v>424</v>
      </c>
      <c r="I2" s="797"/>
      <c r="J2" s="797"/>
      <c r="K2" s="797"/>
      <c r="L2" s="797"/>
      <c r="M2" s="797"/>
      <c r="N2" s="797"/>
      <c r="O2" s="798"/>
    </row>
    <row r="3" spans="2:15">
      <c r="B3" s="677"/>
      <c r="H3" s="799"/>
      <c r="I3" s="800"/>
      <c r="J3" s="800"/>
      <c r="K3" s="800"/>
      <c r="L3" s="800"/>
      <c r="M3" s="800"/>
      <c r="N3" s="800"/>
      <c r="O3" s="801"/>
    </row>
    <row r="4" spans="2:15">
      <c r="B4" s="678" t="s">
        <v>425</v>
      </c>
      <c r="C4" s="679" t="str">
        <f>'Project Plan'!E2</f>
        <v>The View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78" t="s">
        <v>426</v>
      </c>
      <c r="C5" s="679" t="s">
        <v>427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78" t="s">
        <v>428</v>
      </c>
      <c r="C6" s="679" t="s">
        <v>429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78" t="s">
        <v>430</v>
      </c>
      <c r="C7" s="679" t="s">
        <v>76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77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431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432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80" t="s">
        <v>433</v>
      </c>
      <c r="C11" s="793" t="s">
        <v>434</v>
      </c>
      <c r="D11" s="793"/>
      <c r="E11" s="793"/>
    </row>
    <row r="12" spans="2:15">
      <c r="B12" s="680" t="s">
        <v>435</v>
      </c>
      <c r="C12" s="793" t="s">
        <v>434</v>
      </c>
      <c r="D12" s="793"/>
      <c r="E12" s="793"/>
    </row>
    <row r="13" spans="2:15">
      <c r="B13" s="680" t="s">
        <v>436</v>
      </c>
      <c r="C13" s="793" t="s">
        <v>434</v>
      </c>
      <c r="D13" s="793"/>
      <c r="E13" s="793"/>
    </row>
    <row r="14" spans="2:15">
      <c r="B14" s="680" t="s">
        <v>437</v>
      </c>
      <c r="C14" s="793" t="s">
        <v>438</v>
      </c>
      <c r="D14" s="793"/>
      <c r="E14" s="793"/>
    </row>
    <row r="15" spans="2:15">
      <c r="B15" s="680" t="s">
        <v>439</v>
      </c>
      <c r="C15" s="793" t="s">
        <v>440</v>
      </c>
      <c r="D15" s="793"/>
      <c r="E15" s="793"/>
    </row>
    <row r="16" spans="2:15" ht="15" customHeight="1">
      <c r="B16" s="680" t="s">
        <v>441</v>
      </c>
      <c r="C16" s="793" t="s">
        <v>442</v>
      </c>
      <c r="D16" s="793"/>
      <c r="E16" s="793"/>
    </row>
    <row r="17" spans="2:5">
      <c r="B17" s="677"/>
    </row>
    <row r="18" spans="2:5">
      <c r="B18" s="794" t="s">
        <v>443</v>
      </c>
      <c r="C18" s="794"/>
      <c r="D18" s="794"/>
      <c r="E18" s="794"/>
    </row>
    <row r="19" spans="2:5">
      <c r="B19" s="680" t="s">
        <v>444</v>
      </c>
      <c r="C19" s="680" t="s">
        <v>445</v>
      </c>
      <c r="D19" s="680" t="s">
        <v>446</v>
      </c>
      <c r="E19" s="680" t="s">
        <v>62</v>
      </c>
    </row>
    <row r="20" spans="2:5" ht="15" customHeight="1">
      <c r="B20" s="680" t="s">
        <v>447</v>
      </c>
      <c r="C20" s="680" t="s">
        <v>448</v>
      </c>
      <c r="D20" s="681" t="s">
        <v>449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450</v>
      </c>
    </row>
    <row r="2" spans="1:4">
      <c r="A2" s="807"/>
      <c r="B2" s="807"/>
      <c r="C2" s="807"/>
      <c r="D2" s="71"/>
    </row>
    <row r="3" spans="1:4">
      <c r="A3" s="806" t="s">
        <v>451</v>
      </c>
      <c r="B3" s="806"/>
      <c r="C3" s="806"/>
      <c r="D3" s="111">
        <v>0.32</v>
      </c>
    </row>
    <row r="4" spans="1:4">
      <c r="A4" s="806" t="s">
        <v>392</v>
      </c>
      <c r="B4" s="806"/>
      <c r="C4" s="806"/>
      <c r="D4" s="111">
        <v>0.5</v>
      </c>
    </row>
    <row r="5" spans="1:4">
      <c r="A5" s="806" t="s">
        <v>403</v>
      </c>
      <c r="B5" s="806"/>
      <c r="C5" s="806"/>
      <c r="D5" s="111">
        <v>0.15</v>
      </c>
    </row>
    <row r="6" spans="1:4">
      <c r="A6" s="806" t="s">
        <v>452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08" t="s">
        <v>453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2.95">
      <c r="B4" s="92" t="s">
        <v>454</v>
      </c>
      <c r="C4" s="86"/>
      <c r="D4" s="90" t="s">
        <v>455</v>
      </c>
      <c r="E4" s="95"/>
      <c r="F4" s="90" t="s">
        <v>456</v>
      </c>
      <c r="H4" s="90" t="s">
        <v>457</v>
      </c>
      <c r="I4" s="95"/>
      <c r="J4" s="90" t="s">
        <v>458</v>
      </c>
      <c r="L4" s="90" t="s">
        <v>457</v>
      </c>
      <c r="M4" s="90"/>
      <c r="N4" s="90" t="s">
        <v>459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460</v>
      </c>
      <c r="H7" s="99"/>
      <c r="I7" s="95"/>
      <c r="J7" s="107" t="s">
        <v>460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261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261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461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462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463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460</v>
      </c>
      <c r="H15" s="99"/>
      <c r="I15" s="95"/>
      <c r="J15" s="107" t="s">
        <v>460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464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460</v>
      </c>
      <c r="H21" s="99"/>
      <c r="I21" s="95"/>
      <c r="J21" s="107" t="s">
        <v>460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297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463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460</v>
      </c>
      <c r="H27" s="99"/>
      <c r="I27" s="95"/>
      <c r="J27" s="107" t="s">
        <v>460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465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460</v>
      </c>
      <c r="H34" s="99"/>
      <c r="I34" s="95"/>
      <c r="J34" s="107" t="s">
        <v>460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471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08" t="s">
        <v>473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2.95">
      <c r="B4" s="92" t="s">
        <v>454</v>
      </c>
      <c r="C4" s="86"/>
      <c r="D4" s="90" t="s">
        <v>455</v>
      </c>
      <c r="E4" s="95"/>
      <c r="F4" s="95"/>
      <c r="G4" s="90" t="s">
        <v>474</v>
      </c>
      <c r="H4" s="96"/>
      <c r="J4" s="90" t="s">
        <v>457</v>
      </c>
      <c r="L4" s="90" t="s">
        <v>475</v>
      </c>
      <c r="M4" s="96"/>
      <c r="O4" s="90" t="s">
        <v>457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260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265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268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274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471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454</v>
      </c>
      <c r="C18" s="86"/>
      <c r="D18" s="90" t="s">
        <v>455</v>
      </c>
      <c r="E18" s="95"/>
      <c r="F18" s="95"/>
      <c r="G18" s="90" t="s">
        <v>477</v>
      </c>
      <c r="H18" s="96"/>
      <c r="J18" s="90" t="s">
        <v>457</v>
      </c>
      <c r="L18" s="90" t="s">
        <v>478</v>
      </c>
      <c r="M18" s="96"/>
      <c r="O18" s="90" t="s">
        <v>457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480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481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482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471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484</v>
      </c>
      <c r="C32" s="103"/>
      <c r="D32" s="103"/>
    </row>
    <row r="33" spans="2:4" ht="12.95" thickTop="1"/>
    <row r="34" spans="2:4">
      <c r="B34" s="88" t="s">
        <v>455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485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42578125" customWidth="1"/>
    <col min="10" max="10" width="19.5703125" bestFit="1" customWidth="1"/>
  </cols>
  <sheetData>
    <row r="1" spans="2:14">
      <c r="B1" s="810" t="str">
        <f>D15</f>
        <v>The View</v>
      </c>
      <c r="C1" s="810"/>
      <c r="D1" s="810"/>
      <c r="E1" s="809" t="s">
        <v>486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487</v>
      </c>
      <c r="C3" s="72" t="s">
        <v>488</v>
      </c>
      <c r="D3" s="72" t="s">
        <v>489</v>
      </c>
      <c r="E3" s="78" t="s">
        <v>490</v>
      </c>
      <c r="F3" s="78" t="s">
        <v>491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DA75CAF8-375C-41E4-9D35-76F0D734679C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2026-02-23T07:33:28Z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