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093" documentId="13_ncr:1_{CD365AC2-7AFF-447F-BCAA-27DFFF7DA5E7}" xr6:coauthVersionLast="47" xr6:coauthVersionMax="47" xr10:uidLastSave="{7B9B871D-D73B-4F37-BE09-9712E24CFBCC}"/>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ABB Switchgear Installation" sheetId="30" state="hidden" r:id="rId10"/>
    <sheet name="PO-ABB Switchgear" sheetId="29" state="hidden" r:id="rId11"/>
    <sheet name="PO - Fuducia Construction" sheetId="31" state="hidden" r:id="rId12"/>
    <sheet name="PO - Fire Protection" sheetId="32" state="hidden" r:id="rId13"/>
    <sheet name="PO Generator" sheetId="26"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2">'PO - Fire Protection'!$A$1:$J$47</definedName>
    <definedName name="_xlnm.Print_Area" localSheetId="11">'PO - Fuducia Construction'!$A$1:$J$47</definedName>
    <definedName name="_xlnm.Print_Area" localSheetId="13">'PO Generator'!$A$1:$J$47</definedName>
    <definedName name="_xlnm.Print_Area" localSheetId="10">'PO-ABB Switchgear'!$A$1:$J$47</definedName>
    <definedName name="_xlnm.Print_Area" localSheetId="9">'PO-ABB Switchgear Installation'!$A$1:$J$47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2">'PO - Fire Protection'!Projectsize</definedName>
    <definedName name="Project_Size" localSheetId="11">'PO - Fuducia Construction'!Projectsize</definedName>
    <definedName name="Project_Size" localSheetId="13">'PO Generator'!Projectsize</definedName>
    <definedName name="Project_Size" localSheetId="10">'PO-ABB Switchgear'!Projectsize</definedName>
    <definedName name="Project_Size" localSheetId="9">'PO-ABB Switchgear Installation'!Projectsize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2">'PO - Fire Protection'!#REF!</definedName>
    <definedName name="Projectsize" localSheetId="11">'PO - Fuducia Construction'!#REF!</definedName>
    <definedName name="Projectsize" localSheetId="13">#REF!</definedName>
    <definedName name="Projectsize" localSheetId="10">'PO-ABB Switchgear'!#REF!</definedName>
    <definedName name="Projectsize" localSheetId="9">'PO-ABB Switchgear Installation'!#REF!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05" i="18" l="1"/>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W198" i="18"/>
  <c r="T204" i="18"/>
  <c r="T203" i="18"/>
  <c r="T202" i="18"/>
  <c r="T201" i="18"/>
  <c r="T200" i="18"/>
  <c r="T199" i="18"/>
  <c r="W189" i="18"/>
  <c r="T181" i="18"/>
  <c r="Q185" i="18"/>
  <c r="Q184" i="18"/>
  <c r="Q183" i="18"/>
  <c r="Q182" i="18"/>
  <c r="Q180" i="18"/>
  <c r="T195" i="18"/>
  <c r="T194" i="18"/>
  <c r="T193" i="18"/>
  <c r="T192" i="18"/>
  <c r="T191" i="18"/>
  <c r="T190" i="18"/>
  <c r="T186" i="18"/>
  <c r="T185" i="18"/>
  <c r="T184" i="18"/>
  <c r="T183" i="18"/>
  <c r="I46" i="32"/>
  <c r="I19" i="32"/>
  <c r="I20" i="32"/>
  <c r="I21" i="32"/>
  <c r="I22" i="32"/>
  <c r="I23" i="32"/>
  <c r="I24" i="32"/>
  <c r="I25" i="32"/>
  <c r="I26" i="32"/>
  <c r="I27" i="32"/>
  <c r="I28" i="32"/>
  <c r="I29" i="32" s="1"/>
  <c r="I30" i="32" s="1"/>
  <c r="I12" i="32"/>
  <c r="C13" i="32"/>
  <c r="I13" i="32"/>
  <c r="C14" i="32"/>
  <c r="C15" i="32"/>
  <c r="C16" i="32"/>
  <c r="O1" i="32"/>
  <c r="P158" i="18"/>
  <c r="Q158" i="18" s="1"/>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3" i="19"/>
  <c r="Q43"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Q53" i="18"/>
  <c r="Q52" i="18"/>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P34" i="19"/>
  <c r="AA22" i="19"/>
  <c r="K34" i="19"/>
  <c r="W22" i="19"/>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A318" i="19"/>
  <c r="P86" i="19"/>
  <c r="AA26" i="19" s="1"/>
  <c r="M103" i="19"/>
  <c r="Q103" i="19" s="1"/>
  <c r="M28" i="19"/>
  <c r="Q28" i="19" s="1"/>
  <c r="M102" i="19"/>
  <c r="Q102" i="19" s="1"/>
  <c r="P124" i="19"/>
  <c r="AA28" i="19"/>
  <c r="P105" i="19"/>
  <c r="AA27" i="19"/>
  <c r="P309" i="19"/>
  <c r="AA35" i="19"/>
  <c r="P289" i="19"/>
  <c r="AA33" i="19" s="1"/>
  <c r="P223" i="19"/>
  <c r="AA32" i="19"/>
  <c r="P211" i="19"/>
  <c r="AA31" i="19"/>
  <c r="P187" i="19"/>
  <c r="AA30" i="19"/>
  <c r="P167" i="19"/>
  <c r="AA29" i="19" s="1"/>
  <c r="H125" i="19"/>
  <c r="F126" i="19"/>
  <c r="M122" i="19"/>
  <c r="Q122" i="19"/>
  <c r="M98" i="19"/>
  <c r="K99" i="19" s="1"/>
  <c r="M97" i="19"/>
  <c r="Q97" i="19" s="1"/>
  <c r="M96" i="19"/>
  <c r="Q96" i="19" s="1"/>
  <c r="M95" i="19"/>
  <c r="Q95" i="19"/>
  <c r="M94" i="19"/>
  <c r="M93" i="19"/>
  <c r="Q93" i="19" s="1"/>
  <c r="M92" i="19"/>
  <c r="Q92" i="19" s="1"/>
  <c r="M91" i="19"/>
  <c r="Q91" i="19" s="1"/>
  <c r="M90" i="19"/>
  <c r="Q90" i="19"/>
  <c r="M89" i="19"/>
  <c r="Q89" i="19"/>
  <c r="M88" i="19"/>
  <c r="M87" i="19"/>
  <c r="Q87" i="19"/>
  <c r="M39" i="19"/>
  <c r="Q39" i="19" s="1"/>
  <c r="M36" i="19"/>
  <c r="Q36" i="19" s="1"/>
  <c r="M35" i="19"/>
  <c r="M34" i="19" s="1"/>
  <c r="Y22" i="19" s="1"/>
  <c r="X22" i="19" s="1"/>
  <c r="Q35" i="19"/>
  <c r="M32" i="19"/>
  <c r="Q32" i="19" s="1"/>
  <c r="M27" i="19"/>
  <c r="Q27" i="19" s="1"/>
  <c r="M26" i="19"/>
  <c r="Q26" i="19" s="1"/>
  <c r="M25" i="19"/>
  <c r="M23" i="19"/>
  <c r="Q23" i="19" s="1"/>
  <c r="M15" i="19"/>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U25" i="19" s="1"/>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Q15" i="19"/>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Q212" i="19"/>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AE7" i="18" l="1"/>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U22"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Q34" i="19"/>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7" i="19"/>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W74" i="18"/>
  <c r="T74" i="18" s="1"/>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W68" i="18"/>
  <c r="T68" i="18" s="1"/>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W71" i="18"/>
  <c r="T71" i="18" s="1"/>
  <c r="Q202" i="19"/>
  <c r="M203" i="19"/>
  <c r="Q203" i="19" s="1"/>
  <c r="M213" i="19"/>
  <c r="Q213" i="19" s="1"/>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W52" i="18" l="1"/>
  <c r="M162" i="19"/>
  <c r="M124" i="19" s="1"/>
  <c r="K124" i="19"/>
  <c r="M208" i="19"/>
  <c r="K209" i="19" s="1"/>
  <c r="Q207" i="19"/>
  <c r="U7" i="6"/>
  <c r="V6" i="6"/>
  <c r="X4" i="6"/>
  <c r="W28" i="19" l="1"/>
  <c r="L124" i="19"/>
  <c r="W53" i="18"/>
  <c r="T53" i="18" s="1"/>
  <c r="T52" i="18"/>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W207" i="18"/>
  <c r="G11" i="6" s="1"/>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<sst xmlns="http://schemas.openxmlformats.org/spreadsheetml/2006/main" count="2722" uniqueCount="1370">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</sst>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28312756.384073202</c:v>
                </c:pt>
                <c:pt idx="59">
                  <c:v>28437756.384073202</c:v>
                </c:pt>
                <c:pt idx="60">
                  <c:v>28437756.384073202</c:v>
                </c:pt>
                <c:pt idx="61">
                  <c:v>28437756.384073202</c:v>
                </c:pt>
                <c:pt idx="62">
                  <c:v>31598128.061673202</c:v>
                </c:pt>
                <c:pt idx="63">
                  <c:v>32592326.261673201</c:v>
                </c:pt>
                <c:pt idx="64">
                  <c:v>32592326.261673201</c:v>
                </c:pt>
                <c:pt idx="65">
                  <c:v>32592326.261673201</c:v>
                </c:pt>
                <c:pt idx="66">
                  <c:v>42368491.117673203</c:v>
                </c:pt>
                <c:pt idx="67">
                  <c:v>44592305.30919826</c:v>
                </c:pt>
                <c:pt idx="68">
                  <c:v>44592305.30919826</c:v>
                </c:pt>
                <c:pt idx="69">
                  <c:v>44942305.30919826</c:v>
                </c:pt>
                <c:pt idx="70">
                  <c:v>69501489.761810273</c:v>
                </c:pt>
                <c:pt idx="71">
                  <c:v>69921189.161810279</c:v>
                </c:pt>
                <c:pt idx="72">
                  <c:v>69921189.161810279</c:v>
                </c:pt>
                <c:pt idx="73">
                  <c:v>70550325.611810282</c:v>
                </c:pt>
                <c:pt idx="74">
                  <c:v>77666132.357810289</c:v>
                </c:pt>
                <c:pt idx="75">
                  <c:v>117799429.71826519</c:v>
                </c:pt>
                <c:pt idx="76">
                  <c:v>117909379.71826519</c:v>
                </c:pt>
                <c:pt idx="77">
                  <c:v>117909379.71826519</c:v>
                </c:pt>
                <c:pt idx="78">
                  <c:v>117909379.71826519</c:v>
                </c:pt>
                <c:pt idx="79">
                  <c:v>126414463.06326519</c:v>
                </c:pt>
                <c:pt idx="80">
                  <c:v>126594413.06326519</c:v>
                </c:pt>
                <c:pt idx="81">
                  <c:v>126744413.06326519</c:v>
                </c:pt>
                <c:pt idx="82">
                  <c:v>127422055.06326519</c:v>
                </c:pt>
                <c:pt idx="83">
                  <c:v>127448312.66326518</c:v>
                </c:pt>
                <c:pt idx="84">
                  <c:v>138580843.00257796</c:v>
                </c:pt>
                <c:pt idx="85">
                  <c:v>139194793.00257796</c:v>
                </c:pt>
                <c:pt idx="86">
                  <c:v>139365013.00257796</c:v>
                </c:pt>
                <c:pt idx="87">
                  <c:v>139365013.00257796</c:v>
                </c:pt>
                <c:pt idx="88">
                  <c:v>140611673.92757797</c:v>
                </c:pt>
                <c:pt idx="89">
                  <c:v>140726673.92757797</c:v>
                </c:pt>
                <c:pt idx="90">
                  <c:v>140726673.92757797</c:v>
                </c:pt>
                <c:pt idx="91">
                  <c:v>140726673.92757797</c:v>
                </c:pt>
                <c:pt idx="92">
                  <c:v>140784173.92757797</c:v>
                </c:pt>
                <c:pt idx="93">
                  <c:v>140784173.92757797</c:v>
                </c:pt>
                <c:pt idx="94">
                  <c:v>140784173.92757797</c:v>
                </c:pt>
                <c:pt idx="95">
                  <c:v>140784173.92757797</c:v>
                </c:pt>
                <c:pt idx="96">
                  <c:v>140784173.92757797</c:v>
                </c:pt>
                <c:pt idx="97">
                  <c:v>140784173.92757797</c:v>
                </c:pt>
                <c:pt idx="98">
                  <c:v>140784173.92757797</c:v>
                </c:pt>
                <c:pt idx="99">
                  <c:v>140784173.92757797</c:v>
                </c:pt>
                <c:pt idx="100">
                  <c:v>140784173.92757797</c:v>
                </c:pt>
                <c:pt idx="101">
                  <c:v>140784173.92757797</c:v>
                </c:pt>
                <c:pt idx="102">
                  <c:v>140784173.92757797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-28312756.384073202</c:v>
                </c:pt>
                <c:pt idx="59">
                  <c:v>-28437756.384073202</c:v>
                </c:pt>
                <c:pt idx="60">
                  <c:v>-28437756.384073202</c:v>
                </c:pt>
                <c:pt idx="61">
                  <c:v>-28437756.384073202</c:v>
                </c:pt>
                <c:pt idx="62">
                  <c:v>-31598128.061673202</c:v>
                </c:pt>
                <c:pt idx="63">
                  <c:v>-32592326.261673201</c:v>
                </c:pt>
                <c:pt idx="64">
                  <c:v>-32592326.261673201</c:v>
                </c:pt>
                <c:pt idx="65">
                  <c:v>-32592326.261673201</c:v>
                </c:pt>
                <c:pt idx="66">
                  <c:v>3131508.8823267967</c:v>
                </c:pt>
                <c:pt idx="67">
                  <c:v>907694.69080173969</c:v>
                </c:pt>
                <c:pt idx="68">
                  <c:v>907694.69080173969</c:v>
                </c:pt>
                <c:pt idx="69">
                  <c:v>557694.69080173969</c:v>
                </c:pt>
                <c:pt idx="70">
                  <c:v>-20001489.761810273</c:v>
                </c:pt>
                <c:pt idx="71">
                  <c:v>-20421189.161810279</c:v>
                </c:pt>
                <c:pt idx="72">
                  <c:v>-5421189.1618102789</c:v>
                </c:pt>
                <c:pt idx="73">
                  <c:v>-6050325.6118102819</c:v>
                </c:pt>
                <c:pt idx="74">
                  <c:v>733867.64218971133</c:v>
                </c:pt>
                <c:pt idx="75">
                  <c:v>-23399429.718265191</c:v>
                </c:pt>
                <c:pt idx="76">
                  <c:v>-23509379.718265191</c:v>
                </c:pt>
                <c:pt idx="77">
                  <c:v>-23509379.718265191</c:v>
                </c:pt>
                <c:pt idx="78">
                  <c:v>-23509379.718265191</c:v>
                </c:pt>
                <c:pt idx="79">
                  <c:v>-23014463.06326519</c:v>
                </c:pt>
                <c:pt idx="80">
                  <c:v>-23194413.06326519</c:v>
                </c:pt>
                <c:pt idx="81">
                  <c:v>-16344413.06326519</c:v>
                </c:pt>
                <c:pt idx="82">
                  <c:v>-17022055.06326519</c:v>
                </c:pt>
                <c:pt idx="83">
                  <c:v>-9548312.6632651836</c:v>
                </c:pt>
                <c:pt idx="84">
                  <c:v>-20680843.00257796</c:v>
                </c:pt>
                <c:pt idx="85">
                  <c:v>-15794793.00257796</c:v>
                </c:pt>
                <c:pt idx="86">
                  <c:v>-15965013.00257796</c:v>
                </c:pt>
                <c:pt idx="87">
                  <c:v>-4465013.0025779605</c:v>
                </c:pt>
                <c:pt idx="88">
                  <c:v>-5711673.9275779724</c:v>
                </c:pt>
                <c:pt idx="89">
                  <c:v>-4326673.9275779724</c:v>
                </c:pt>
                <c:pt idx="90">
                  <c:v>-4326673.9275779724</c:v>
                </c:pt>
                <c:pt idx="91">
                  <c:v>-4326673.9275779724</c:v>
                </c:pt>
                <c:pt idx="92">
                  <c:v>-4384173.9275779724</c:v>
                </c:pt>
                <c:pt idx="93">
                  <c:v>-4384173.9275779724</c:v>
                </c:pt>
                <c:pt idx="94">
                  <c:v>-4384173.9275779724</c:v>
                </c:pt>
                <c:pt idx="95">
                  <c:v>-4384173.9275779724</c:v>
                </c:pt>
                <c:pt idx="96">
                  <c:v>-4384173.9275779724</c:v>
                </c:pt>
                <c:pt idx="97">
                  <c:v>-4384173.9275779724</c:v>
                </c:pt>
                <c:pt idx="98">
                  <c:v>-4384173.9275779724</c:v>
                </c:pt>
                <c:pt idx="99">
                  <c:v>-4384173.9275779724</c:v>
                </c:pt>
                <c:pt idx="100">
                  <c:v>-4384173.9275779724</c:v>
                </c:pt>
                <c:pt idx="101">
                  <c:v>-4384173.9275779724</c:v>
                </c:pt>
                <c:pt idx="102">
                  <c:v>-4384173.9275779724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19492626.735705644</c:v>
                </c:pt>
                <c:pt idx="58">
                  <c:v>19492626.735705644</c:v>
                </c:pt>
                <c:pt idx="59">
                  <c:v>19492626.735705644</c:v>
                </c:pt>
                <c:pt idx="60">
                  <c:v>19492626.735705644</c:v>
                </c:pt>
                <c:pt idx="61">
                  <c:v>19492626.735705644</c:v>
                </c:pt>
                <c:pt idx="62">
                  <c:v>22817549.141064506</c:v>
                </c:pt>
                <c:pt idx="63">
                  <c:v>22817549.141064506</c:v>
                </c:pt>
                <c:pt idx="64">
                  <c:v>22817549.141064506</c:v>
                </c:pt>
                <c:pt idx="65">
                  <c:v>22817549.141064506</c:v>
                </c:pt>
                <c:pt idx="66">
                  <c:v>77267701.816583186</c:v>
                </c:pt>
                <c:pt idx="67">
                  <c:v>77267701.816583186</c:v>
                </c:pt>
                <c:pt idx="68">
                  <c:v>77267701.816583186</c:v>
                </c:pt>
                <c:pt idx="69">
                  <c:v>77267701.816583186</c:v>
                </c:pt>
                <c:pt idx="70">
                  <c:v>111807244.59302382</c:v>
                </c:pt>
                <c:pt idx="71">
                  <c:v>111807244.59302382</c:v>
                </c:pt>
                <c:pt idx="72">
                  <c:v>111807244.59302382</c:v>
                </c:pt>
                <c:pt idx="73">
                  <c:v>111807244.59302382</c:v>
                </c:pt>
                <c:pt idx="74">
                  <c:v>111807244.59302382</c:v>
                </c:pt>
                <c:pt idx="75">
                  <c:v>123876455.38753341</c:v>
                </c:pt>
                <c:pt idx="76">
                  <c:v>123876455.38753341</c:v>
                </c:pt>
                <c:pt idx="77">
                  <c:v>123876455.38753341</c:v>
                </c:pt>
                <c:pt idx="78">
                  <c:v>123876455.38753341</c:v>
                </c:pt>
                <c:pt idx="79">
                  <c:v>131109671.83792879</c:v>
                </c:pt>
                <c:pt idx="80">
                  <c:v>131109671.83792879</c:v>
                </c:pt>
                <c:pt idx="81">
                  <c:v>131109671.83792879</c:v>
                </c:pt>
                <c:pt idx="82">
                  <c:v>131109671.83792879</c:v>
                </c:pt>
                <c:pt idx="83">
                  <c:v>131117699.18375142</c:v>
                </c:pt>
                <c:pt idx="84">
                  <c:v>141269561.35650682</c:v>
                </c:pt>
                <c:pt idx="85">
                  <c:v>141269561.35650682</c:v>
                </c:pt>
                <c:pt idx="86">
                  <c:v>141269561.35650682</c:v>
                </c:pt>
                <c:pt idx="87">
                  <c:v>141269561.35650682</c:v>
                </c:pt>
                <c:pt idx="88">
                  <c:v>142002086.86111751</c:v>
                </c:pt>
                <c:pt idx="89">
                  <c:v>142002086.86111751</c:v>
                </c:pt>
                <c:pt idx="90">
                  <c:v>142002086.86111751</c:v>
                </c:pt>
                <c:pt idx="91">
                  <c:v>142002086.86111751</c:v>
                </c:pt>
                <c:pt idx="92">
                  <c:v>142043618.24909055</c:v>
                </c:pt>
                <c:pt idx="93">
                  <c:v>142043618.24909055</c:v>
                </c:pt>
                <c:pt idx="94">
                  <c:v>142043618.24909055</c:v>
                </c:pt>
                <c:pt idx="95">
                  <c:v>142043618.24909055</c:v>
                </c:pt>
                <c:pt idx="96">
                  <c:v>142043618.24909055</c:v>
                </c:pt>
                <c:pt idx="97">
                  <c:v>142043618.24909055</c:v>
                </c:pt>
                <c:pt idx="98">
                  <c:v>142043618.24909055</c:v>
                </c:pt>
                <c:pt idx="99">
                  <c:v>142043618.24909055</c:v>
                </c:pt>
                <c:pt idx="100">
                  <c:v>142043618.24909055</c:v>
                </c:pt>
                <c:pt idx="101">
                  <c:v>142043618.24909055</c:v>
                </c:pt>
                <c:pt idx="102">
                  <c:v>142043618.24909055</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620760</xdr:colOff>
      <xdr:row>1</xdr:row>
      <xdr:rowOff>11693</xdr:rowOff>
    </xdr:from>
    <xdr:to>
      <xdr:col>17</xdr:col>
      <xdr:colOff>1801749</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68987</xdr:colOff>
      <xdr:row>155</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32" t="s">
        <v>57</v>
      </c>
      <c r="E47" s="932"/>
      <c r="F47" s="933"/>
      <c r="G47" s="67"/>
      <c r="I47" s="68"/>
      <c r="J47" s="68"/>
    </row>
    <row r="48" spans="1:49" ht="14.5" thickBot="1">
      <c r="C48" s="69">
        <v>44014</v>
      </c>
      <c r="D48" s="934"/>
      <c r="E48" s="934"/>
      <c r="F48" s="935"/>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37" t="s">
        <v>58</v>
      </c>
      <c r="C2" s="937"/>
      <c r="D2" s="937"/>
      <c r="E2" s="937"/>
      <c r="H2" s="938" t="s">
        <v>59</v>
      </c>
      <c r="I2" s="939"/>
      <c r="J2" s="939"/>
      <c r="K2" s="939"/>
      <c r="L2" s="939"/>
      <c r="M2" s="939"/>
      <c r="N2" s="939"/>
      <c r="O2" s="940"/>
    </row>
    <row r="3" spans="2:15">
      <c r="B3" s="721"/>
      <c r="H3" s="941"/>
      <c r="I3" s="942"/>
      <c r="J3" s="942"/>
      <c r="K3" s="942"/>
      <c r="L3" s="942"/>
      <c r="M3" s="942"/>
      <c r="N3" s="942"/>
      <c r="O3" s="943"/>
    </row>
    <row r="4" spans="2:15">
      <c r="B4" s="722" t="s">
        <v>60</v>
      </c>
      <c r="C4" s="723" t="s">
        <v>61</v>
      </c>
      <c r="H4" s="941"/>
      <c r="I4" s="942"/>
      <c r="J4" s="942"/>
      <c r="K4" s="942"/>
      <c r="L4" s="942"/>
      <c r="M4" s="942"/>
      <c r="N4" s="942"/>
      <c r="O4" s="943"/>
    </row>
    <row r="5" spans="2:15">
      <c r="B5" s="722" t="s">
        <v>62</v>
      </c>
      <c r="C5" s="723" t="s">
        <v>63</v>
      </c>
      <c r="H5" s="941"/>
      <c r="I5" s="942"/>
      <c r="J5" s="942"/>
      <c r="K5" s="942"/>
      <c r="L5" s="942"/>
      <c r="M5" s="942"/>
      <c r="N5" s="942"/>
      <c r="O5" s="943"/>
    </row>
    <row r="6" spans="2:15">
      <c r="B6" s="722" t="s">
        <v>64</v>
      </c>
      <c r="C6" s="723" t="s">
        <v>65</v>
      </c>
      <c r="H6" s="941"/>
      <c r="I6" s="942"/>
      <c r="J6" s="942"/>
      <c r="K6" s="942"/>
      <c r="L6" s="942"/>
      <c r="M6" s="942"/>
      <c r="N6" s="942"/>
      <c r="O6" s="943"/>
    </row>
    <row r="7" spans="2:15">
      <c r="B7" s="722" t="s">
        <v>66</v>
      </c>
      <c r="C7" s="723" t="s">
        <v>67</v>
      </c>
      <c r="H7" s="941"/>
      <c r="I7" s="942"/>
      <c r="J7" s="942"/>
      <c r="K7" s="942"/>
      <c r="L7" s="942"/>
      <c r="M7" s="942"/>
      <c r="N7" s="942"/>
      <c r="O7" s="943"/>
    </row>
    <row r="8" spans="2:15">
      <c r="B8" s="721"/>
      <c r="H8" s="941"/>
      <c r="I8" s="942"/>
      <c r="J8" s="942"/>
      <c r="K8" s="942"/>
      <c r="L8" s="942"/>
      <c r="M8" s="942"/>
      <c r="N8" s="942"/>
      <c r="O8" s="943"/>
    </row>
    <row r="9" spans="2:15">
      <c r="B9" s="947" t="s">
        <v>68</v>
      </c>
      <c r="C9" s="947"/>
      <c r="D9" s="947"/>
      <c r="E9" s="9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41"/>
      <c r="I9" s="942"/>
      <c r="J9" s="942"/>
      <c r="K9" s="942"/>
      <c r="L9" s="942"/>
      <c r="M9" s="942"/>
      <c r="N9" s="942"/>
      <c r="O9" s="943"/>
    </row>
    <row r="10" spans="2:15" ht="15" thickBot="1">
      <c r="B10" s="947" t="s">
        <v>69</v>
      </c>
      <c r="C10" s="947"/>
      <c r="D10" s="947"/>
      <c r="E10" s="947"/>
      <c r="H10" s="944"/>
      <c r="I10" s="945"/>
      <c r="J10" s="945"/>
      <c r="K10" s="945"/>
      <c r="L10" s="945"/>
      <c r="M10" s="945"/>
      <c r="N10" s="945"/>
      <c r="O10" s="946"/>
    </row>
    <row r="11" spans="2:15">
      <c r="B11" s="724" t="s">
        <v>70</v>
      </c>
      <c r="C11" s="936" t="s">
        <v>71</v>
      </c>
      <c r="D11" s="936"/>
      <c r="E11" s="936"/>
    </row>
    <row r="12" spans="2:15">
      <c r="B12" s="724" t="s">
        <v>72</v>
      </c>
      <c r="C12" s="936" t="s">
        <v>71</v>
      </c>
      <c r="D12" s="936"/>
      <c r="E12" s="936"/>
    </row>
    <row r="13" spans="2:15">
      <c r="B13" s="724" t="s">
        <v>73</v>
      </c>
      <c r="C13" s="936" t="s">
        <v>71</v>
      </c>
      <c r="D13" s="936"/>
      <c r="E13" s="936"/>
    </row>
    <row r="14" spans="2:15">
      <c r="B14" s="724" t="s">
        <v>74</v>
      </c>
      <c r="C14" s="936" t="s">
        <v>75</v>
      </c>
      <c r="D14" s="936"/>
      <c r="E14" s="936"/>
    </row>
    <row r="15" spans="2:15">
      <c r="B15" s="724" t="s">
        <v>76</v>
      </c>
      <c r="C15" s="936" t="s">
        <v>77</v>
      </c>
      <c r="D15" s="936"/>
      <c r="E15" s="936"/>
    </row>
    <row r="16" spans="2:15" ht="15" customHeight="1">
      <c r="B16" s="724" t="s">
        <v>78</v>
      </c>
      <c r="C16" s="936" t="s">
        <v>79</v>
      </c>
      <c r="D16" s="936"/>
      <c r="E16" s="936"/>
    </row>
    <row r="17" spans="2:5">
      <c r="B17" s="721"/>
    </row>
    <row r="18" spans="2:5">
      <c r="B18" s="948" t="s">
        <v>80</v>
      </c>
      <c r="C18" s="948"/>
      <c r="D18" s="948"/>
      <c r="E18" s="948"/>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49" t="s">
        <v>88</v>
      </c>
      <c r="C2" s="950"/>
      <c r="D2" s="950"/>
      <c r="E2" s="950"/>
      <c r="F2" s="951"/>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49" t="s">
        <v>108</v>
      </c>
      <c r="C49" s="950"/>
      <c r="D49" s="950"/>
      <c r="E49" s="950"/>
      <c r="F49" s="951"/>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52"/>
      <c r="B1" s="953"/>
      <c r="C1" s="953"/>
      <c r="D1" s="953"/>
      <c r="E1" s="736"/>
      <c r="F1" s="954" t="s">
        <v>112</v>
      </c>
      <c r="G1" s="954"/>
      <c r="H1" s="954"/>
      <c r="I1" s="954"/>
      <c r="J1" s="955"/>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30" zoomScaleNormal="130" zoomScaleSheetLayoutView="100" workbookViewId="0">
      <selection activeCell="A215" sqref="A215:XFD215"/>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8.179687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56">
        <v>144482290.75276899</v>
      </c>
      <c r="K8" s="957"/>
      <c r="L8" s="957"/>
      <c r="M8" s="958"/>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59"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60"/>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0.36103498217468805</v>
      </c>
      <c r="Q12" s="352">
        <f ca="1">AVERAGE(Q14,Q21,Q34,Q45,Q71,Q77,Q86,Q105,Q124,Q167,Q187,Q211,Q223,Q289,Q305,Q309)</f>
        <v>0.42797242450050205</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281</v>
      </c>
      <c r="M14" s="670">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f>M22-7</f>
        <v>46127</v>
      </c>
      <c r="L17" s="673">
        <v>5</v>
      </c>
      <c r="M17" s="672">
        <f>WORKDAY.INTL(K17,L17,1,Data!$C$3:$C$57)</f>
        <v>46134</v>
      </c>
      <c r="N17" s="121"/>
      <c r="P17" s="244">
        <v>0.5</v>
      </c>
      <c r="Q17" s="244">
        <f ca="1">_xlfn.LET(
  _xlpm.s,VALUE($K17),
  _xlpm.e,VALUE($M17),
  IF(OR(_xlpm.s="",_xlpm.e=""),"", IF(_xlpm.e&lt;=_xlpm.s, IF(TODAY()&gt;=_xlpm.e,1,0), MAX(0,MIN(1,(TODAY()-_xlpm.s)/(_xlpm.e-_xlpm.s)))))
)</f>
        <v>0</v>
      </c>
      <c r="R17" s="121"/>
      <c r="T17" s="3"/>
      <c r="U17" s="686"/>
    </row>
    <row r="18" spans="2:73" s="111" customFormat="1" ht="14.25"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395.1</v>
      </c>
      <c r="V20" s="628" t="str">
        <f>C14</f>
        <v>CPs - Generator</v>
      </c>
      <c r="W20" s="677">
        <f>K14</f>
        <v>45695</v>
      </c>
      <c r="X20" s="678">
        <f>Y20-W20</f>
        <v>439</v>
      </c>
      <c r="Y20" s="677">
        <f>M14</f>
        <v>46134</v>
      </c>
      <c r="Z20" s="678" t="s">
        <v>148</v>
      </c>
      <c r="AA20" s="680">
        <f>P14</f>
        <v>0.9</v>
      </c>
      <c r="AB20" s="111"/>
      <c r="AC20" s="961">
        <f>P12</f>
        <v>0.36103498217468805</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0.88636363636363635</v>
      </c>
      <c r="Q21" s="351">
        <f ca="1">AVERAGE(Q22:Q32)</f>
        <v>0.86478365384615385</v>
      </c>
      <c r="R21" s="121"/>
      <c r="T21" s="3"/>
      <c r="U21" s="170">
        <f t="shared" si="0"/>
        <v>389.11363636363637</v>
      </c>
      <c r="V21" s="628" t="str">
        <f>C21</f>
        <v>CPs - Offtaker</v>
      </c>
      <c r="W21" s="677">
        <f>K21</f>
        <v>45695</v>
      </c>
      <c r="X21" s="678">
        <f t="shared" ref="X21:X35" si="1">Y21-W21</f>
        <v>439</v>
      </c>
      <c r="Y21" s="677">
        <f>M21</f>
        <v>46134</v>
      </c>
      <c r="Z21" s="678" t="s">
        <v>148</v>
      </c>
      <c r="AA21" s="680">
        <f>P21</f>
        <v>0.88636363636363635</v>
      </c>
      <c r="AC21" s="962"/>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325.41666666666663</v>
      </c>
      <c r="V22" s="628" t="str">
        <f>C34</f>
        <v>Surveys &amp; Permits</v>
      </c>
      <c r="W22" s="677">
        <f>K34</f>
        <v>45695</v>
      </c>
      <c r="X22" s="678">
        <f t="shared" si="1"/>
        <v>355</v>
      </c>
      <c r="Y22" s="677">
        <f>M34</f>
        <v>46050</v>
      </c>
      <c r="Z22" s="678" t="s">
        <v>148</v>
      </c>
      <c r="AA22" s="680">
        <f>P34</f>
        <v>0.91666666666666663</v>
      </c>
      <c r="AC22" s="962"/>
      <c r="AE22" s="687"/>
      <c r="AF22" s="682"/>
      <c r="AG22" s="682"/>
      <c r="AH22" s="682"/>
      <c r="AI22" s="682"/>
      <c r="AJ22" s="682"/>
      <c r="AK22" s="682"/>
      <c r="AL22" s="682"/>
      <c r="AM22" s="682"/>
      <c r="AN22" s="682"/>
      <c r="AO22" s="682"/>
      <c r="AP22" s="682"/>
      <c r="AQ22" s="682"/>
      <c r="AR22" s="682"/>
    </row>
    <row r="23" spans="2:73" s="111" customFormat="1" ht="14.25"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62"/>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0.75</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62"/>
      <c r="AE24" s="682"/>
      <c r="AF24" s="682"/>
      <c r="AG24" s="682"/>
      <c r="AH24" s="682"/>
      <c r="AI24" s="682"/>
      <c r="AJ24" s="682"/>
      <c r="AK24" s="682"/>
      <c r="AL24" s="682"/>
      <c r="AM24" s="682"/>
      <c r="AN24" s="682"/>
      <c r="AO24" s="682"/>
      <c r="AP24" s="682"/>
      <c r="AQ24" s="682"/>
      <c r="AR24" s="682"/>
    </row>
    <row r="25" spans="2:73" s="111" customFormat="1" ht="14.25"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62"/>
      <c r="AE25" s="682"/>
      <c r="AF25" s="682"/>
      <c r="AG25" s="682"/>
      <c r="AH25" s="682"/>
      <c r="AI25" s="682"/>
      <c r="AJ25" s="682"/>
      <c r="AK25" s="682"/>
      <c r="AL25" s="682"/>
      <c r="AM25" s="682"/>
      <c r="AN25" s="682"/>
      <c r="AO25" s="682"/>
      <c r="AP25" s="682"/>
      <c r="AQ25" s="682"/>
      <c r="AR25" s="682"/>
    </row>
    <row r="26" spans="2:73" s="111" customFormat="1" ht="14.25"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372.9</v>
      </c>
      <c r="V26" s="628" t="str">
        <f>C86</f>
        <v>Electrical System Design</v>
      </c>
      <c r="W26" s="677">
        <f>K86</f>
        <v>45695</v>
      </c>
      <c r="X26" s="678">
        <f t="shared" si="3"/>
        <v>374</v>
      </c>
      <c r="Y26" s="677">
        <f>M86</f>
        <v>46069</v>
      </c>
      <c r="Z26" s="678" t="s">
        <v>148</v>
      </c>
      <c r="AA26" s="680">
        <f>P86</f>
        <v>0.99705882352941178</v>
      </c>
      <c r="AC26" s="962"/>
      <c r="AE26" s="682"/>
      <c r="AF26" s="682"/>
      <c r="AG26" s="682"/>
      <c r="AH26" s="682"/>
      <c r="AI26" s="682"/>
      <c r="AJ26" s="682"/>
      <c r="AK26" s="682"/>
      <c r="AL26" s="682"/>
      <c r="AM26" s="682"/>
      <c r="AN26" s="682"/>
      <c r="AO26" s="682"/>
      <c r="AP26" s="682"/>
      <c r="AQ26" s="682"/>
      <c r="AR26" s="682"/>
    </row>
    <row r="27" spans="2:73" s="111" customFormat="1" ht="14.25"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27.835294117647059</v>
      </c>
      <c r="V27" s="628" t="str">
        <f>C105</f>
        <v>Procurement &amp; Contracting</v>
      </c>
      <c r="W27" s="677">
        <f>K105</f>
        <v>45838</v>
      </c>
      <c r="X27" s="678">
        <f t="shared" si="3"/>
        <v>364</v>
      </c>
      <c r="Y27" s="677">
        <f>M105</f>
        <v>46202</v>
      </c>
      <c r="Z27" s="678" t="s">
        <v>148</v>
      </c>
      <c r="AA27" s="680">
        <f>P105</f>
        <v>7.6470588235294124E-2</v>
      </c>
      <c r="AC27" s="962"/>
      <c r="AE27" s="682"/>
      <c r="AF27" s="682"/>
      <c r="AG27" s="682"/>
      <c r="AH27" s="682"/>
      <c r="AI27" s="682"/>
      <c r="AJ27" s="682"/>
      <c r="AK27" s="682"/>
      <c r="AL27" s="682"/>
      <c r="AM27" s="682"/>
      <c r="AN27" s="682"/>
      <c r="AO27" s="682"/>
      <c r="AP27" s="682"/>
      <c r="AQ27" s="682"/>
      <c r="AR27" s="682"/>
    </row>
    <row r="28" spans="2:73" s="111" customFormat="1" ht="14.25"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62"/>
      <c r="AE28" s="682"/>
      <c r="AF28" s="682"/>
      <c r="AG28" s="682"/>
      <c r="AH28" s="682"/>
      <c r="AI28" s="682"/>
      <c r="AJ28" s="682"/>
      <c r="AK28" s="682"/>
      <c r="AL28" s="682"/>
      <c r="AM28" s="682"/>
      <c r="AN28" s="682"/>
      <c r="AO28" s="682"/>
      <c r="AP28" s="682"/>
      <c r="AQ28" s="682"/>
      <c r="AR28" s="682"/>
    </row>
    <row r="29" spans="2:73" s="111" customFormat="1" ht="14.25"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62"/>
      <c r="AE29" s="682"/>
      <c r="AF29" s="682"/>
      <c r="AG29" s="682"/>
      <c r="AH29" s="682"/>
      <c r="AI29" s="682"/>
      <c r="AJ29" s="682"/>
      <c r="AK29" s="682"/>
      <c r="AL29" s="682"/>
      <c r="AM29" s="682"/>
      <c r="AN29" s="682"/>
      <c r="AO29" s="682"/>
      <c r="AP29" s="682"/>
      <c r="AQ29" s="682"/>
      <c r="AR29" s="682"/>
    </row>
    <row r="30" spans="2:73" s="111" customFormat="1" ht="14.25"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62"/>
      <c r="AE30" s="682"/>
      <c r="AF30" s="682"/>
      <c r="AG30" s="682"/>
      <c r="AH30" s="682"/>
      <c r="AI30" s="682"/>
      <c r="AJ30" s="682"/>
      <c r="AK30" s="682"/>
      <c r="AL30" s="682"/>
      <c r="AM30" s="682"/>
      <c r="AN30" s="682"/>
      <c r="AO30" s="682"/>
      <c r="AP30" s="682"/>
      <c r="AQ30" s="682"/>
      <c r="AR30" s="682"/>
    </row>
    <row r="31" spans="2:73" s="111" customFormat="1" ht="14.25"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62"/>
    </row>
    <row r="32" spans="2:73" s="111" customFormat="1" ht="14.25"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62"/>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62"/>
    </row>
    <row r="34" spans="2:73" s="111" customFormat="1" ht="14.25" customHeight="1">
      <c r="B34" s="235">
        <v>2</v>
      </c>
      <c r="C34" s="236" t="s">
        <v>388</v>
      </c>
      <c r="D34" s="211"/>
      <c r="E34" s="211"/>
      <c r="F34" s="237"/>
      <c r="G34" s="238"/>
      <c r="H34" s="237"/>
      <c r="I34" s="212" t="s">
        <v>360</v>
      </c>
      <c r="J34" s="632"/>
      <c r="K34" s="670">
        <f>MIN(K35:K43)</f>
        <v>45695</v>
      </c>
      <c r="L34" s="671">
        <f>NETWORKDAYS(K34,M34,Data!$C$3:$C$57)</f>
        <v>223</v>
      </c>
      <c r="M34" s="670">
        <f>MAX(M35:M43)</f>
        <v>46050</v>
      </c>
      <c r="N34" s="121" t="s">
        <v>94</v>
      </c>
      <c r="O34" s="113"/>
      <c r="P34" s="351">
        <f>AVERAGE(P35:P43)</f>
        <v>0.91666666666666663</v>
      </c>
      <c r="Q34" s="351">
        <f ca="1">AVERAGE(Q35:Q43)</f>
        <v>1</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62"/>
    </row>
    <row r="35" spans="2:73" s="113" customFormat="1" ht="14.25"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63"/>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391</v>
      </c>
      <c r="D37" s="207"/>
      <c r="E37" s="207"/>
      <c r="F37" s="592"/>
      <c r="G37" s="593"/>
      <c r="H37" s="592"/>
      <c r="I37" s="230" t="s">
        <v>362</v>
      </c>
      <c r="J37" s="632"/>
      <c r="K37" s="672"/>
      <c r="L37" s="673"/>
      <c r="M37" s="672"/>
      <c r="N37" s="121"/>
      <c r="P37" s="244">
        <v>1</v>
      </c>
      <c r="Q37" s="244"/>
      <c r="R37" s="121"/>
      <c r="T37" s="123"/>
      <c r="U37" s="686"/>
      <c r="V37" s="120"/>
      <c r="W37" s="120"/>
      <c r="X37" s="120"/>
    </row>
    <row r="38" spans="2:73" s="111" customFormat="1" ht="14.25"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60</v>
      </c>
      <c r="M41" s="672">
        <f>WORKDAY.INTL(K41,L41,1,Data!$C$3:$C$57)</f>
        <v>46050</v>
      </c>
      <c r="N41" s="121" t="s">
        <v>162</v>
      </c>
      <c r="P41" s="244">
        <v>0.75</v>
      </c>
      <c r="Q41" s="244">
        <f t="shared" ca="1" si="7"/>
        <v>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60</v>
      </c>
      <c r="M42" s="672">
        <f>WORKDAY.INTL(K42,L42,1,Data!$C$3:$C$57)</f>
        <v>46050</v>
      </c>
      <c r="N42" s="121"/>
      <c r="P42" s="244">
        <v>0.75</v>
      </c>
      <c r="Q42" s="244">
        <f t="shared" ca="1" si="7"/>
        <v>1</v>
      </c>
      <c r="R42" s="121"/>
      <c r="T42" s="123"/>
      <c r="U42" s="120"/>
    </row>
    <row r="43" spans="2:73" s="111" customFormat="1" ht="14.25" customHeight="1">
      <c r="B43" s="590"/>
      <c r="C43" s="591" t="s">
        <v>397</v>
      </c>
      <c r="D43" s="207"/>
      <c r="E43" s="207"/>
      <c r="F43" s="592"/>
      <c r="G43" s="593"/>
      <c r="H43" s="592"/>
      <c r="I43" s="230" t="s">
        <v>362</v>
      </c>
      <c r="J43" s="632"/>
      <c r="K43" s="672">
        <v>45931</v>
      </c>
      <c r="L43" s="673">
        <v>60</v>
      </c>
      <c r="M43" s="672">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398</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399</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400</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401</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402</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403</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404</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405</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406</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407</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408</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409</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410</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411</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412</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413</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407</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414</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415</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416</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417</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418</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419</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420</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customHeight="1">
      <c r="B72" s="590"/>
      <c r="C72" s="604" t="s">
        <v>421</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590"/>
      <c r="C73" s="591" t="s">
        <v>422</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customHeight="1">
      <c r="B74" s="590"/>
      <c r="C74" s="591" t="s">
        <v>423</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customHeight="1">
      <c r="B75" s="590"/>
      <c r="C75" s="591" t="s">
        <v>424</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425</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customHeight="1">
      <c r="B78" s="590"/>
      <c r="C78" s="604" t="s">
        <v>426</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590"/>
      <c r="C79" s="591" t="s">
        <v>427</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customHeight="1">
      <c r="B80" s="590"/>
      <c r="C80" s="591" t="s">
        <v>428</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customHeight="1">
      <c r="B81" s="590"/>
      <c r="C81" s="591" t="s">
        <v>429</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customHeight="1">
      <c r="B82" s="590"/>
      <c r="C82" s="591" t="s">
        <v>430</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customHeight="1">
      <c r="B83" s="590"/>
      <c r="C83" s="591" t="s">
        <v>431</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customHeight="1">
      <c r="B84" s="590"/>
      <c r="C84" s="591" t="s">
        <v>432</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433</v>
      </c>
      <c r="D86" s="207"/>
      <c r="E86" s="207"/>
      <c r="F86" s="592"/>
      <c r="G86" s="593"/>
      <c r="H86" s="592"/>
      <c r="I86" s="212" t="s">
        <v>360</v>
      </c>
      <c r="J86" s="632"/>
      <c r="K86" s="670">
        <f>MIN(K87:K103)</f>
        <v>45695</v>
      </c>
      <c r="L86" s="671">
        <f>NETWORKDAYS(K86,M86,Data!$C$3:$C$57)</f>
        <v>236</v>
      </c>
      <c r="M86" s="670">
        <f>MAX(M87:M103)</f>
        <v>46069</v>
      </c>
      <c r="N86" s="121" t="s">
        <v>144</v>
      </c>
      <c r="P86" s="351">
        <f>AVERAGE(P87:P103)</f>
        <v>0.99705882352941178</v>
      </c>
      <c r="Q86" s="351">
        <f ca="1">AVERAGE(Q87:Q103)</f>
        <v>1</v>
      </c>
      <c r="R86" s="121"/>
      <c r="T86" s="3"/>
      <c r="V86" s="120"/>
      <c r="W86" s="120"/>
      <c r="X86" s="120"/>
    </row>
    <row r="87" spans="2:24" s="111" customFormat="1" ht="14.25" customHeight="1">
      <c r="B87" s="590"/>
      <c r="C87" s="591" t="s">
        <v>434</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590"/>
      <c r="C88" s="591" t="s">
        <v>435</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customHeight="1">
      <c r="B89" s="590"/>
      <c r="C89" s="591" t="s">
        <v>436</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customHeight="1">
      <c r="B90" s="590"/>
      <c r="C90" s="591" t="s">
        <v>437</v>
      </c>
      <c r="D90" s="207"/>
      <c r="E90" s="207"/>
      <c r="F90" s="592"/>
      <c r="G90" s="593"/>
      <c r="H90" s="592"/>
      <c r="I90" s="230" t="s">
        <v>362</v>
      </c>
      <c r="J90" s="632"/>
      <c r="K90" s="672">
        <v>45695</v>
      </c>
      <c r="L90" s="673">
        <v>190</v>
      </c>
      <c r="M90" s="672">
        <f>WORKDAY.INTL(K90,L90,1,Data!$C$3:$C$57)</f>
        <v>45971</v>
      </c>
      <c r="N90" s="121"/>
      <c r="P90" s="244">
        <v>1</v>
      </c>
      <c r="Q90" s="244">
        <f t="shared" ca="1" si="11"/>
        <v>1</v>
      </c>
      <c r="R90" s="121" t="s">
        <v>438</v>
      </c>
      <c r="T90" s="123"/>
      <c r="U90" s="120"/>
      <c r="V90" s="120"/>
      <c r="W90" s="120"/>
      <c r="X90" s="120"/>
    </row>
    <row r="91" spans="2:24" s="111" customFormat="1" ht="14.25" customHeight="1">
      <c r="B91" s="590"/>
      <c r="C91" s="591" t="s">
        <v>439</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customHeight="1">
      <c r="B92" s="590"/>
      <c r="C92" s="591" t="s">
        <v>440</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customHeight="1">
      <c r="B93" s="590"/>
      <c r="C93" s="591" t="s">
        <v>441</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customHeight="1">
      <c r="B94" s="590"/>
      <c r="C94" s="591" t="s">
        <v>442</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customHeight="1">
      <c r="B95" s="590"/>
      <c r="C95" s="591" t="s">
        <v>443</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customHeight="1">
      <c r="B96" s="590"/>
      <c r="C96" s="591" t="s">
        <v>444</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customHeight="1">
      <c r="B97" s="590"/>
      <c r="C97" s="591" t="s">
        <v>445</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customHeight="1">
      <c r="B98" s="590"/>
      <c r="C98" s="591" t="s">
        <v>446</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customHeight="1">
      <c r="B99" s="590"/>
      <c r="C99" s="591" t="s">
        <v>447</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customHeight="1">
      <c r="B100" s="590"/>
      <c r="C100" s="591" t="s">
        <v>448</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customHeight="1">
      <c r="B101" s="590"/>
      <c r="C101" s="604" t="s">
        <v>449</v>
      </c>
      <c r="D101" s="207"/>
      <c r="E101" s="207"/>
      <c r="F101" s="592"/>
      <c r="G101" s="593"/>
      <c r="H101" s="592"/>
      <c r="I101" s="230" t="s">
        <v>362</v>
      </c>
      <c r="J101" s="632"/>
      <c r="K101" s="672">
        <v>45937</v>
      </c>
      <c r="L101" s="673">
        <v>69</v>
      </c>
      <c r="M101" s="672">
        <f>WORKDAY.INTL(K101,L101,1,Data!$C$3:$C$57)</f>
        <v>46069</v>
      </c>
      <c r="N101" s="121"/>
      <c r="P101" s="244">
        <v>0.95</v>
      </c>
      <c r="Q101" s="244">
        <f t="shared" ca="1" si="11"/>
        <v>1</v>
      </c>
      <c r="R101" s="121"/>
      <c r="T101" s="123"/>
      <c r="U101" s="120"/>
      <c r="V101" s="120"/>
      <c r="W101" s="120"/>
      <c r="X101" s="120"/>
    </row>
    <row r="102" spans="2:24" s="111" customFormat="1" ht="14.15" customHeight="1">
      <c r="B102" s="590"/>
      <c r="C102" s="591" t="s">
        <v>450</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451</v>
      </c>
      <c r="T102" s="123"/>
      <c r="U102" s="120"/>
      <c r="V102" s="120"/>
      <c r="W102" s="120"/>
      <c r="X102" s="120"/>
    </row>
    <row r="103" spans="2:24" s="111" customFormat="1" ht="14.25" customHeight="1">
      <c r="B103" s="590"/>
      <c r="C103" s="591" t="s">
        <v>452</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453</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7.6470588235294124E-2</v>
      </c>
      <c r="Q105" s="351">
        <f ca="1">AVERAGE(Q106:Q122)</f>
        <v>0.18277513816187915</v>
      </c>
      <c r="R105" s="121"/>
      <c r="T105" s="123"/>
      <c r="U105" s="120"/>
      <c r="V105" s="120"/>
      <c r="W105" s="120"/>
      <c r="X105" s="120"/>
    </row>
    <row r="106" spans="2:24" s="111" customFormat="1" ht="14.25" customHeight="1">
      <c r="B106" s="590"/>
      <c r="C106" s="604" t="s">
        <v>454</v>
      </c>
      <c r="D106" s="207"/>
      <c r="E106" s="207"/>
      <c r="F106" s="592"/>
      <c r="G106" s="593"/>
      <c r="H106" s="592"/>
      <c r="I106" s="230" t="s">
        <v>362</v>
      </c>
      <c r="J106" s="632"/>
      <c r="K106" s="672">
        <v>46051</v>
      </c>
      <c r="L106" s="673">
        <f>20*5</f>
        <v>100</v>
      </c>
      <c r="M106" s="672">
        <f>WORKDAY.INTL(K106,L106,1,Data!$C$3:$C$57)</f>
        <v>46198</v>
      </c>
      <c r="N106" s="121"/>
      <c r="P106" s="244">
        <v>0.1</v>
      </c>
      <c r="Q106" s="244">
        <f t="shared" ref="Q106:Q122" ca="1" si="12">_xlfn.LET(
  _xlpm.s,VALUE($K106),
  _xlpm.e,VALUE($M106),
  IF(OR(_xlpm.s="",_xlpm.e=""),"", IF(_xlpm.e&lt;=_xlpm.s, IF(TODAY()&gt;=_xlpm.e,1,0), MAX(0,MIN(1,(TODAY()-_xlpm.s)/(_xlpm.e-_xlpm.s)))))
)</f>
        <v>0.17687074829931973</v>
      </c>
      <c r="R106" s="121" t="s">
        <v>455</v>
      </c>
      <c r="T106" s="123"/>
      <c r="U106" s="120"/>
      <c r="V106" s="120"/>
      <c r="W106" s="120"/>
      <c r="X106" s="120"/>
    </row>
    <row r="107" spans="2:24" s="111" customFormat="1" ht="14.25" customHeight="1">
      <c r="B107" s="590"/>
      <c r="C107" s="604" t="s">
        <v>456</v>
      </c>
      <c r="D107" s="207"/>
      <c r="E107" s="207"/>
      <c r="F107" s="592"/>
      <c r="G107" s="593"/>
      <c r="H107" s="592"/>
      <c r="I107" s="230" t="s">
        <v>362</v>
      </c>
      <c r="J107" s="632">
        <v>0</v>
      </c>
      <c r="K107" s="672">
        <v>46069</v>
      </c>
      <c r="L107" s="673">
        <f>12*5</f>
        <v>60</v>
      </c>
      <c r="M107" s="672">
        <f>WORKDAY.INTL(K107,L107,1,Data!$C$3:$C$57)</f>
        <v>46157</v>
      </c>
      <c r="N107" s="121"/>
      <c r="P107" s="244">
        <v>0</v>
      </c>
      <c r="Q107" s="244">
        <f t="shared" ca="1" si="12"/>
        <v>9.0909090909090912E-2</v>
      </c>
      <c r="R107" s="121" t="s">
        <v>457</v>
      </c>
      <c r="T107" s="123"/>
      <c r="U107" s="120"/>
      <c r="V107" s="120"/>
      <c r="W107" s="120"/>
      <c r="X107" s="120"/>
    </row>
    <row r="108" spans="2:24" s="111" customFormat="1" ht="14.25" customHeight="1">
      <c r="B108" s="590"/>
      <c r="C108" s="604" t="s">
        <v>458</v>
      </c>
      <c r="D108" s="207"/>
      <c r="E108" s="207"/>
      <c r="F108" s="592"/>
      <c r="G108" s="593"/>
      <c r="H108" s="592"/>
      <c r="I108" s="230" t="s">
        <v>362</v>
      </c>
      <c r="J108" s="632"/>
      <c r="K108" s="672">
        <v>46069</v>
      </c>
      <c r="L108" s="673">
        <f>12*5</f>
        <v>60</v>
      </c>
      <c r="M108" s="672">
        <f>WORKDAY.INTL(K108,L108,1,Data!$C$3:$C$57)</f>
        <v>46157</v>
      </c>
      <c r="N108" s="121"/>
      <c r="P108" s="244">
        <v>0</v>
      </c>
      <c r="Q108" s="244">
        <f ca="1">_xlfn.LET(
  _xlpm.s,VALUE($K108),
  _xlpm.e,VALUE($M108),
  IF(OR(_xlpm.s="",_xlpm.e=""),"", IF(_xlpm.e&lt;=_xlpm.s, IF(TODAY()&gt;=_xlpm.e,1,0), MAX(0,MIN(1,(TODAY()-_xlpm.s)/(_xlpm.e-_xlpm.s)))))
)</f>
        <v>9.0909090909090912E-2</v>
      </c>
      <c r="R108" s="121" t="s">
        <v>457</v>
      </c>
      <c r="T108" s="123"/>
      <c r="U108" s="120"/>
      <c r="V108" s="120"/>
      <c r="W108" s="120"/>
      <c r="X108" s="120"/>
    </row>
    <row r="109" spans="2:24" s="111" customFormat="1" ht="14.25" customHeight="1">
      <c r="B109" s="590"/>
      <c r="C109" s="604" t="s">
        <v>459</v>
      </c>
      <c r="D109" s="207"/>
      <c r="E109" s="207"/>
      <c r="F109" s="592"/>
      <c r="G109" s="593"/>
      <c r="H109" s="592"/>
      <c r="I109" s="230" t="s">
        <v>362</v>
      </c>
      <c r="J109" s="632">
        <v>0</v>
      </c>
      <c r="K109" s="672">
        <v>46069</v>
      </c>
      <c r="L109" s="673">
        <v>55</v>
      </c>
      <c r="M109" s="672">
        <f>WORKDAY.INTL(K109,L109,1,Data!$C$3:$C$57)</f>
        <v>46150</v>
      </c>
      <c r="N109" s="121"/>
      <c r="P109" s="244">
        <v>0</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460</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461</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462</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463</v>
      </c>
      <c r="D113" s="207"/>
      <c r="E113" s="207"/>
      <c r="F113" s="592"/>
      <c r="G113" s="593"/>
      <c r="H113" s="592"/>
      <c r="I113" s="230" t="s">
        <v>362</v>
      </c>
      <c r="J113" s="632">
        <v>15</v>
      </c>
      <c r="K113" s="672">
        <f>K106</f>
        <v>46051</v>
      </c>
      <c r="L113" s="673">
        <f>12*5</f>
        <v>60</v>
      </c>
      <c r="M113" s="672">
        <f>WORKDAY.INTL(K113,L113,1,Data!$C$3:$C$57)</f>
        <v>46140</v>
      </c>
      <c r="N113" s="121"/>
      <c r="P113" s="244">
        <v>0.1</v>
      </c>
      <c r="Q113" s="244">
        <f t="shared" ca="1" si="12"/>
        <v>0.29213483146067415</v>
      </c>
      <c r="R113" s="121"/>
      <c r="T113" s="123"/>
      <c r="U113" s="120"/>
      <c r="V113" s="120"/>
      <c r="W113" s="120"/>
      <c r="X113" s="120"/>
    </row>
    <row r="114" spans="2:24" s="111" customFormat="1" ht="14.25" customHeight="1">
      <c r="B114" s="590"/>
      <c r="C114" s="604" t="s">
        <v>464</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465</v>
      </c>
      <c r="D115" s="207"/>
      <c r="E115" s="207"/>
      <c r="F115" s="592"/>
      <c r="G115" s="593"/>
      <c r="H115" s="592"/>
      <c r="I115" s="230" t="s">
        <v>362</v>
      </c>
      <c r="J115" s="632"/>
      <c r="K115" s="672">
        <v>46066</v>
      </c>
      <c r="L115" s="673">
        <f>16*5</f>
        <v>80</v>
      </c>
      <c r="M115" s="672">
        <f>WORKDAY.INTL(K115,L115,1,Data!$C$3:$C$57)</f>
        <v>46184</v>
      </c>
      <c r="N115" s="121"/>
      <c r="P115" s="244">
        <v>0</v>
      </c>
      <c r="Q115" s="244">
        <f t="shared" ca="1" si="12"/>
        <v>9.3220338983050849E-2</v>
      </c>
      <c r="R115" s="121"/>
      <c r="T115" s="123"/>
      <c r="U115" s="120"/>
      <c r="V115" s="120"/>
      <c r="W115" s="120"/>
      <c r="X115" s="120"/>
    </row>
    <row r="116" spans="2:24" s="111" customFormat="1" ht="14.25" customHeight="1">
      <c r="B116" s="590"/>
      <c r="C116" s="591" t="s">
        <v>466</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467</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468</v>
      </c>
      <c r="D118" s="207"/>
      <c r="E118" s="207"/>
      <c r="F118" s="592"/>
      <c r="G118" s="593"/>
      <c r="H118" s="592"/>
      <c r="I118" s="230"/>
      <c r="J118" s="632">
        <v>7</v>
      </c>
      <c r="K118" s="672">
        <v>46055</v>
      </c>
      <c r="L118" s="673">
        <v>60</v>
      </c>
      <c r="M118" s="672">
        <v>46142</v>
      </c>
      <c r="N118" s="121"/>
      <c r="P118" s="244">
        <v>0</v>
      </c>
      <c r="Q118" s="244">
        <f t="shared" ca="1" si="12"/>
        <v>0.25287356321839083</v>
      </c>
      <c r="R118" s="121"/>
      <c r="T118" s="123"/>
      <c r="U118" s="120"/>
    </row>
    <row r="119" spans="2:24" s="111" customFormat="1" ht="14.25" customHeight="1">
      <c r="B119" s="590"/>
      <c r="C119" s="240" t="s">
        <v>469</v>
      </c>
      <c r="D119" s="207"/>
      <c r="E119" s="207"/>
      <c r="F119" s="592"/>
      <c r="G119" s="593"/>
      <c r="H119" s="592"/>
      <c r="I119" s="230"/>
      <c r="J119" s="632">
        <v>7</v>
      </c>
      <c r="K119" s="672">
        <v>46055</v>
      </c>
      <c r="L119" s="673">
        <v>60</v>
      </c>
      <c r="M119" s="672">
        <v>46142</v>
      </c>
      <c r="N119" s="121"/>
      <c r="P119" s="244">
        <v>0</v>
      </c>
      <c r="Q119" s="244">
        <f t="shared" ca="1" si="12"/>
        <v>0.25287356321839083</v>
      </c>
      <c r="R119" s="121"/>
      <c r="T119" s="123"/>
      <c r="U119" s="120"/>
    </row>
    <row r="120" spans="2:24" s="111" customFormat="1" ht="14.25" customHeight="1">
      <c r="B120" s="590"/>
      <c r="C120" s="240" t="s">
        <v>470</v>
      </c>
      <c r="D120" s="207"/>
      <c r="E120" s="207"/>
      <c r="F120" s="592"/>
      <c r="G120" s="593"/>
      <c r="H120" s="592"/>
      <c r="I120" s="230"/>
      <c r="J120" s="632">
        <v>7</v>
      </c>
      <c r="K120" s="672">
        <v>46055</v>
      </c>
      <c r="L120" s="673">
        <v>60</v>
      </c>
      <c r="M120" s="672">
        <v>46142</v>
      </c>
      <c r="N120" s="121"/>
      <c r="P120" s="244">
        <v>0</v>
      </c>
      <c r="Q120" s="244">
        <f t="shared" ca="1" si="12"/>
        <v>0.25287356321839083</v>
      </c>
      <c r="R120" s="121"/>
      <c r="T120" s="123"/>
      <c r="U120" s="120"/>
    </row>
    <row r="121" spans="2:24" s="111" customFormat="1" ht="14.25" customHeight="1">
      <c r="B121" s="590"/>
      <c r="C121" s="240" t="s">
        <v>471</v>
      </c>
      <c r="D121" s="207"/>
      <c r="E121" s="207"/>
      <c r="F121" s="592"/>
      <c r="G121" s="593"/>
      <c r="H121" s="592"/>
      <c r="I121" s="230"/>
      <c r="J121" s="632">
        <v>7</v>
      </c>
      <c r="K121" s="672">
        <v>46055</v>
      </c>
      <c r="L121" s="673">
        <v>60</v>
      </c>
      <c r="M121" s="672">
        <v>46142</v>
      </c>
      <c r="N121" s="121"/>
      <c r="P121" s="244">
        <v>0</v>
      </c>
      <c r="Q121" s="244">
        <f t="shared" ca="1" si="12"/>
        <v>0.25287356321839083</v>
      </c>
      <c r="R121" s="121"/>
      <c r="T121" s="123"/>
      <c r="U121" s="120"/>
    </row>
    <row r="122" spans="2:24" s="111" customFormat="1" ht="14.25" customHeight="1">
      <c r="B122" s="590"/>
      <c r="C122" s="591" t="s">
        <v>472</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476</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478</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479</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480</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481</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482</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483</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484</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485</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486</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487</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488</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489</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490</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491</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492</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493</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494</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495</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496</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497</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498</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499</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500</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501</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502</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503</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504</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505</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514</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515</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c r="R168" s="121"/>
      <c r="T168" s="123"/>
      <c r="U168" s="120"/>
      <c r="V168" s="120"/>
      <c r="W168" s="120"/>
      <c r="X168" s="120"/>
    </row>
    <row r="169" spans="2:24" s="111" customFormat="1" ht="14.25" customHeight="1">
      <c r="B169" s="239"/>
      <c r="C169" s="604" t="s">
        <v>517</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c r="R169" s="121"/>
      <c r="T169" s="123"/>
      <c r="U169" s="120"/>
      <c r="V169" s="120"/>
      <c r="W169" s="120"/>
      <c r="X169" s="120"/>
    </row>
    <row r="170" spans="2:24" s="111" customFormat="1" ht="14.25" customHeight="1">
      <c r="B170" s="239"/>
      <c r="C170" s="605" t="s">
        <v>477</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532</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533</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991">
        <v>13</v>
      </c>
      <c r="C211" s="992" t="s">
        <v>548</v>
      </c>
      <c r="D211" s="211"/>
      <c r="E211" s="211"/>
      <c r="F211" s="237"/>
      <c r="G211" s="238"/>
      <c r="H211" s="237"/>
      <c r="I211" s="212" t="s">
        <v>360</v>
      </c>
      <c r="J211" s="631"/>
      <c r="K211" s="670">
        <f>K212</f>
        <v>46140</v>
      </c>
      <c r="L211" s="671">
        <f>NETWORKDAYS(K211,M211,Data!$C$3:$C$57)</f>
        <v>59</v>
      </c>
      <c r="M211" s="670">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991"/>
      <c r="C212" s="993" t="s">
        <v>549</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991"/>
      <c r="C213" s="993" t="s">
        <v>550</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991"/>
      <c r="C214" s="993" t="s">
        <v>551</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991"/>
      <c r="C215" s="993" t="s">
        <v>552</v>
      </c>
      <c r="D215" s="207"/>
      <c r="E215" s="207"/>
      <c r="F215" s="241"/>
      <c r="G215" s="242"/>
      <c r="H215" s="241"/>
      <c r="I215" s="230" t="s">
        <v>362</v>
      </c>
      <c r="J215" s="632"/>
      <c r="K215" s="672">
        <v>46076</v>
      </c>
      <c r="L215" s="673">
        <v>15</v>
      </c>
      <c r="M215" s="672">
        <f>WORKDAY.INTL(K215,L215,1,Data!$C$3:$C$57)</f>
        <v>46097</v>
      </c>
      <c r="N215" s="121"/>
      <c r="P215" s="244">
        <v>0</v>
      </c>
      <c r="Q215" s="244">
        <v>0</v>
      </c>
      <c r="R215" s="121"/>
      <c r="T215" s="123"/>
      <c r="U215" s="120"/>
      <c r="V215" s="120"/>
      <c r="W215" s="120"/>
      <c r="X215" s="120"/>
    </row>
    <row r="216" spans="2:29" s="111" customFormat="1" ht="14.25" customHeight="1">
      <c r="B216" s="991"/>
      <c r="C216" s="993" t="s">
        <v>553</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991"/>
      <c r="C217" s="993" t="s">
        <v>554</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991"/>
      <c r="C218" s="993" t="s">
        <v>555</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991"/>
      <c r="C219" s="993" t="s">
        <v>556</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991"/>
      <c r="C220" s="993" t="s">
        <v>557</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991"/>
      <c r="C221" s="993" t="s">
        <v>514</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31"/>
      <c r="K223" s="670">
        <f>K187+30</f>
        <v>46164</v>
      </c>
      <c r="L223" s="671">
        <f>NETWORKDAYS(K223,M223,Data!$C$3:$C$57)</f>
        <v>70</v>
      </c>
      <c r="M223" s="670">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475</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560</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561</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562</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563</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564</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565</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566</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567</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568</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569</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570</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571</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572</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573</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574</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575</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576</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577</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578</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579</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580</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581</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582</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583</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584</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585</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586</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587</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588</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589</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590</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591</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592</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593</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594</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595</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596</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597</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598</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599</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600</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601</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602</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603</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604</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605</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606</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607</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608</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609</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610</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611</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612</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613</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614</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615</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616</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617</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618</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512</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619</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620</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621</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623</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624</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625</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626</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627</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629</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630</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631</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632</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633</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634</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32"/>
      <c r="K306" s="672"/>
      <c r="L306" s="673"/>
      <c r="M306" s="672"/>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32"/>
      <c r="K307" s="672"/>
      <c r="L307" s="673"/>
      <c r="M307" s="672"/>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637</v>
      </c>
      <c r="D309" s="211"/>
      <c r="E309" s="211"/>
      <c r="F309" s="237"/>
      <c r="G309" s="238"/>
      <c r="H309" s="237"/>
      <c r="I309" s="212" t="s">
        <v>360</v>
      </c>
      <c r="J309" s="631"/>
      <c r="K309" s="670">
        <f>M305</f>
        <v>46331</v>
      </c>
      <c r="L309" s="671">
        <v>365</v>
      </c>
      <c r="M309" s="670">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32"/>
      <c r="K310" s="672"/>
      <c r="L310" s="673"/>
      <c r="M310" s="672"/>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32"/>
      <c r="K311" s="672"/>
      <c r="L311" s="673"/>
      <c r="M311" s="672"/>
      <c r="N311" s="121"/>
      <c r="P311" s="244">
        <v>0</v>
      </c>
      <c r="Q311" s="244">
        <f t="shared" ca="1" si="19"/>
        <v>1</v>
      </c>
      <c r="R311" s="121"/>
      <c r="U311" s="120"/>
    </row>
    <row r="312" spans="1:29" ht="14.25" customHeight="1">
      <c r="B312" s="239"/>
      <c r="C312" s="234" t="s">
        <v>640</v>
      </c>
      <c r="D312" s="207"/>
      <c r="E312" s="207"/>
      <c r="F312" s="243"/>
      <c r="G312" s="242"/>
      <c r="H312" s="243"/>
      <c r="I312" s="230" t="s">
        <v>362</v>
      </c>
      <c r="J312" s="632"/>
      <c r="K312" s="672"/>
      <c r="L312" s="673"/>
      <c r="M312" s="672"/>
      <c r="N312" s="121"/>
      <c r="P312" s="244">
        <v>0</v>
      </c>
      <c r="Q312" s="244">
        <f t="shared" ca="1" si="19"/>
        <v>1</v>
      </c>
      <c r="R312" s="121"/>
      <c r="U312" s="120"/>
    </row>
    <row r="313" spans="1:29" ht="14.25" customHeight="1">
      <c r="B313" s="239"/>
      <c r="C313" s="234" t="s">
        <v>641</v>
      </c>
      <c r="D313" s="207"/>
      <c r="E313" s="207"/>
      <c r="F313" s="243"/>
      <c r="G313" s="242"/>
      <c r="H313" s="243"/>
      <c r="I313" s="230" t="s">
        <v>362</v>
      </c>
      <c r="J313" s="632"/>
      <c r="K313" s="672"/>
      <c r="L313" s="673"/>
      <c r="M313" s="672"/>
      <c r="N313" s="121"/>
      <c r="P313" s="244">
        <v>0</v>
      </c>
      <c r="Q313" s="244">
        <f t="shared" ca="1" si="19"/>
        <v>1</v>
      </c>
      <c r="R313" s="121"/>
      <c r="U313" s="120"/>
    </row>
    <row r="314" spans="1:29" ht="14.25" customHeight="1">
      <c r="B314" s="239"/>
      <c r="C314" s="234" t="s">
        <v>642</v>
      </c>
      <c r="D314" s="207"/>
      <c r="E314" s="207"/>
      <c r="F314" s="243"/>
      <c r="G314" s="242"/>
      <c r="H314" s="243"/>
      <c r="I314" s="230" t="s">
        <v>362</v>
      </c>
      <c r="J314" s="632"/>
      <c r="K314" s="672"/>
      <c r="L314" s="673"/>
      <c r="M314" s="672"/>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32"/>
      <c r="K315" s="672"/>
      <c r="L315" s="673"/>
      <c r="M315" s="672"/>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64" t="s">
        <v>644</v>
      </c>
      <c r="B1" s="964"/>
      <c r="C1" s="964"/>
      <c r="D1" s="964"/>
      <c r="E1" s="964"/>
      <c r="F1" s="964"/>
      <c r="G1" s="964"/>
    </row>
    <row r="2" spans="1:9" ht="15.5">
      <c r="A2" s="778" t="s">
        <v>284</v>
      </c>
      <c r="B2" s="778" t="s">
        <v>285</v>
      </c>
      <c r="C2" s="778" t="s">
        <v>645</v>
      </c>
      <c r="D2" s="778" t="s">
        <v>646</v>
      </c>
      <c r="E2" s="778" t="s">
        <v>647</v>
      </c>
      <c r="F2" s="778" t="s">
        <v>648</v>
      </c>
      <c r="G2" s="778" t="s">
        <v>8</v>
      </c>
      <c r="H2" s="778" t="s">
        <v>287</v>
      </c>
    </row>
    <row r="3" spans="1:9" ht="15.5">
      <c r="A3" s="778"/>
      <c r="B3" s="778"/>
      <c r="C3" s="778" t="s">
        <v>649</v>
      </c>
      <c r="D3" s="778" t="s">
        <v>650</v>
      </c>
      <c r="E3" s="778" t="s">
        <v>650</v>
      </c>
      <c r="F3" s="778" t="s">
        <v>650</v>
      </c>
      <c r="G3" s="778"/>
    </row>
    <row r="4" spans="1:9">
      <c r="A4" s="780" t="s">
        <v>288</v>
      </c>
      <c r="H4" t="s">
        <v>651</v>
      </c>
    </row>
    <row r="5" spans="1:9">
      <c r="A5" t="s">
        <v>289</v>
      </c>
      <c r="B5" s="791">
        <v>22114</v>
      </c>
      <c r="C5" s="777">
        <v>1.99</v>
      </c>
      <c r="D5" s="777">
        <v>2.0499999999999998</v>
      </c>
      <c r="E5" s="777"/>
      <c r="F5" s="797">
        <v>620</v>
      </c>
      <c r="G5" t="s">
        <v>652</v>
      </c>
      <c r="H5" t="s">
        <v>653</v>
      </c>
      <c r="I5" s="797"/>
    </row>
    <row r="6" spans="1:9">
      <c r="A6" t="s">
        <v>654</v>
      </c>
      <c r="B6" s="791">
        <v>3000</v>
      </c>
      <c r="C6" s="777">
        <v>13.5</v>
      </c>
      <c r="D6" s="777">
        <v>14.52</v>
      </c>
      <c r="E6" s="777">
        <v>13.8</v>
      </c>
      <c r="F6" s="777"/>
      <c r="H6" t="s">
        <v>655</v>
      </c>
    </row>
    <row r="7" spans="1:9">
      <c r="A7" t="s">
        <v>656</v>
      </c>
      <c r="B7" s="791">
        <v>3000</v>
      </c>
      <c r="C7" s="777">
        <v>13.5</v>
      </c>
      <c r="D7" s="777">
        <v>14.52</v>
      </c>
      <c r="E7" s="777">
        <v>13.8</v>
      </c>
      <c r="F7" s="777"/>
    </row>
    <row r="8" spans="1:9">
      <c r="A8" t="s">
        <v>657</v>
      </c>
      <c r="B8" s="791">
        <f>26000+33000</f>
        <v>59000</v>
      </c>
      <c r="C8" s="777">
        <v>13.5</v>
      </c>
      <c r="D8" s="777">
        <v>14.52</v>
      </c>
      <c r="E8" s="777">
        <v>13.8</v>
      </c>
      <c r="F8" s="777"/>
    </row>
    <row r="9" spans="1:9">
      <c r="A9" t="s">
        <v>658</v>
      </c>
      <c r="B9" s="791">
        <f>26000+33000</f>
        <v>59000</v>
      </c>
      <c r="C9" s="777">
        <v>13.5</v>
      </c>
      <c r="D9" s="777">
        <v>14.52</v>
      </c>
      <c r="E9" s="777">
        <v>13.8</v>
      </c>
      <c r="F9" s="777"/>
    </row>
    <row r="10" spans="1:9">
      <c r="A10" t="s">
        <v>659</v>
      </c>
      <c r="B10" s="791">
        <v>148000</v>
      </c>
      <c r="C10" s="777">
        <v>13.5</v>
      </c>
      <c r="D10" s="777">
        <v>14.52</v>
      </c>
      <c r="E10" s="777">
        <v>13.8</v>
      </c>
      <c r="F10" s="777"/>
    </row>
    <row r="11" spans="1:9">
      <c r="A11" t="s">
        <v>660</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661</v>
      </c>
      <c r="B15" s="791">
        <f>612+402+(34*12)+645</f>
        <v>2067</v>
      </c>
      <c r="C15" s="777"/>
      <c r="D15" s="777"/>
      <c r="E15" s="777"/>
      <c r="F15" s="777"/>
    </row>
    <row r="16" spans="1:9">
      <c r="A16" t="s">
        <v>662</v>
      </c>
      <c r="B16" s="791">
        <f>1243+90</f>
        <v>1333</v>
      </c>
      <c r="C16" s="777"/>
      <c r="D16" s="777"/>
      <c r="E16" s="777"/>
      <c r="F16" s="777"/>
    </row>
    <row r="17" spans="1:9">
      <c r="A17" t="s">
        <v>663</v>
      </c>
      <c r="B17" s="791">
        <f>116+791</f>
        <v>907</v>
      </c>
      <c r="C17" s="777"/>
      <c r="D17" s="777"/>
      <c r="E17" s="777"/>
      <c r="F17" s="777"/>
    </row>
    <row r="18" spans="1:9">
      <c r="A18" t="s">
        <v>664</v>
      </c>
      <c r="B18" s="791">
        <f>165+178+56+16</f>
        <v>415</v>
      </c>
      <c r="C18" s="777"/>
      <c r="D18" s="777"/>
      <c r="E18" s="777"/>
      <c r="F18" s="777"/>
    </row>
    <row r="19" spans="1:9">
      <c r="A19" t="s">
        <v>665</v>
      </c>
      <c r="B19" s="791">
        <f>65</f>
        <v>65</v>
      </c>
      <c r="C19" s="777"/>
      <c r="D19" s="777"/>
      <c r="E19" s="777"/>
      <c r="F19" s="777"/>
    </row>
    <row r="20" spans="1:9">
      <c r="A20" t="s">
        <v>666</v>
      </c>
      <c r="B20" s="791">
        <f>130</f>
        <v>130</v>
      </c>
      <c r="C20" s="777"/>
      <c r="D20" s="777"/>
      <c r="E20" s="777"/>
      <c r="F20" s="777"/>
    </row>
    <row r="21" spans="1:9">
      <c r="A21" t="s">
        <v>667</v>
      </c>
      <c r="B21" s="791">
        <v>11</v>
      </c>
      <c r="C21" s="777"/>
      <c r="D21" s="777"/>
      <c r="E21" s="777"/>
      <c r="F21" s="777"/>
    </row>
    <row r="22" spans="1:9">
      <c r="A22" t="s">
        <v>668</v>
      </c>
      <c r="B22" s="791">
        <v>6</v>
      </c>
      <c r="C22" s="777"/>
      <c r="D22" s="777"/>
      <c r="E22" s="777"/>
      <c r="F22" s="777"/>
    </row>
    <row r="23" spans="1:9">
      <c r="C23" s="777"/>
      <c r="D23" s="777"/>
      <c r="E23" s="777"/>
      <c r="F23" s="777"/>
    </row>
    <row r="24" spans="1:9">
      <c r="A24" s="780" t="s">
        <v>669</v>
      </c>
      <c r="C24" s="777"/>
      <c r="D24" s="777"/>
      <c r="E24" s="777"/>
      <c r="F24" s="777"/>
    </row>
    <row r="25" spans="1:9">
      <c r="A25" s="780" t="s">
        <v>670</v>
      </c>
      <c r="C25" s="777"/>
      <c r="D25" s="777"/>
      <c r="E25" s="777"/>
      <c r="F25" s="777"/>
    </row>
    <row r="26" spans="1:9">
      <c r="A26" t="s">
        <v>671</v>
      </c>
      <c r="B26" t="s">
        <v>672</v>
      </c>
      <c r="C26" s="777"/>
      <c r="D26" s="777"/>
      <c r="E26" s="777"/>
      <c r="F26" s="777"/>
      <c r="G26" t="s">
        <v>673</v>
      </c>
      <c r="H26" s="965" t="s">
        <v>674</v>
      </c>
    </row>
    <row r="27" spans="1:9">
      <c r="A27" t="s">
        <v>675</v>
      </c>
      <c r="B27" t="s">
        <v>672</v>
      </c>
      <c r="C27" s="777"/>
      <c r="D27" s="777"/>
      <c r="E27" s="777"/>
      <c r="F27" s="777"/>
      <c r="G27" t="s">
        <v>673</v>
      </c>
      <c r="H27" s="965"/>
    </row>
    <row r="28" spans="1:9">
      <c r="A28" t="s">
        <v>676</v>
      </c>
      <c r="B28" t="s">
        <v>672</v>
      </c>
      <c r="C28" s="777"/>
      <c r="D28" s="777"/>
      <c r="E28" s="777"/>
      <c r="F28" s="777"/>
      <c r="G28" t="s">
        <v>673</v>
      </c>
      <c r="H28" s="965"/>
    </row>
    <row r="29" spans="1:9">
      <c r="A29" t="s">
        <v>677</v>
      </c>
      <c r="B29" t="s">
        <v>672</v>
      </c>
      <c r="C29" s="777"/>
      <c r="D29" s="777"/>
      <c r="E29" s="777"/>
      <c r="F29" s="777"/>
      <c r="G29" t="s">
        <v>673</v>
      </c>
      <c r="H29" s="965"/>
    </row>
    <row r="30" spans="1:9">
      <c r="A30" t="s">
        <v>678</v>
      </c>
      <c r="B30" t="s">
        <v>672</v>
      </c>
      <c r="C30" s="777"/>
      <c r="D30" s="777"/>
      <c r="E30" s="777"/>
      <c r="F30" s="777"/>
      <c r="G30" t="s">
        <v>673</v>
      </c>
      <c r="H30" s="965"/>
    </row>
    <row r="31" spans="1:9">
      <c r="A31" t="s">
        <v>679</v>
      </c>
      <c r="B31" t="s">
        <v>672</v>
      </c>
      <c r="C31" s="777"/>
      <c r="D31" s="777"/>
      <c r="E31" s="777"/>
      <c r="F31" s="777"/>
      <c r="G31" t="s">
        <v>673</v>
      </c>
      <c r="H31" s="965"/>
    </row>
    <row r="32" spans="1:9">
      <c r="A32" s="780" t="s">
        <v>680</v>
      </c>
      <c r="C32" s="777"/>
      <c r="D32" s="777"/>
      <c r="E32" s="777"/>
      <c r="F32" s="777"/>
      <c r="H32" s="965"/>
      <c r="I32" t="s">
        <v>681</v>
      </c>
    </row>
    <row r="33" spans="1:9">
      <c r="A33" t="s">
        <v>682</v>
      </c>
      <c r="B33" t="s">
        <v>672</v>
      </c>
      <c r="C33" s="777"/>
      <c r="D33" s="777"/>
      <c r="E33" s="777"/>
      <c r="F33" s="777"/>
      <c r="G33" t="s">
        <v>673</v>
      </c>
      <c r="H33" s="965"/>
      <c r="I33" t="s">
        <v>683</v>
      </c>
    </row>
    <row r="34" spans="1:9">
      <c r="A34" t="s">
        <v>684</v>
      </c>
      <c r="B34" t="s">
        <v>672</v>
      </c>
      <c r="C34" s="777"/>
      <c r="D34" s="777"/>
      <c r="E34" s="777"/>
      <c r="F34" s="777"/>
      <c r="G34" t="s">
        <v>673</v>
      </c>
      <c r="H34" s="965"/>
      <c r="I34" t="s">
        <v>685</v>
      </c>
    </row>
    <row r="35" spans="1:9">
      <c r="A35" t="s">
        <v>678</v>
      </c>
      <c r="B35" t="s">
        <v>672</v>
      </c>
      <c r="C35" s="777"/>
      <c r="D35" s="777"/>
      <c r="E35" s="777"/>
      <c r="F35" s="777"/>
      <c r="G35" t="s">
        <v>673</v>
      </c>
      <c r="H35" s="965"/>
    </row>
    <row r="36" spans="1:9">
      <c r="A36" t="s">
        <v>679</v>
      </c>
      <c r="B36" t="s">
        <v>672</v>
      </c>
      <c r="C36" s="777"/>
      <c r="D36" s="777"/>
      <c r="E36" s="777"/>
      <c r="F36" s="777"/>
      <c r="G36" t="s">
        <v>673</v>
      </c>
      <c r="H36" s="965"/>
    </row>
    <row r="37" spans="1:9">
      <c r="A37" t="s">
        <v>686</v>
      </c>
      <c r="B37" t="s">
        <v>672</v>
      </c>
      <c r="C37" s="777"/>
      <c r="D37" s="777"/>
      <c r="E37" s="777"/>
      <c r="F37" s="777"/>
      <c r="G37" t="s">
        <v>673</v>
      </c>
      <c r="H37" s="965"/>
    </row>
    <row r="38" spans="1:9">
      <c r="A38" t="s">
        <v>687</v>
      </c>
      <c r="B38" t="s">
        <v>672</v>
      </c>
      <c r="C38" s="777"/>
      <c r="D38" s="777"/>
      <c r="E38" s="777"/>
      <c r="F38" s="777"/>
      <c r="G38" t="s">
        <v>673</v>
      </c>
      <c r="H38" s="965"/>
    </row>
    <row r="39" spans="1:9">
      <c r="A39" t="s">
        <v>688</v>
      </c>
      <c r="B39" t="s">
        <v>672</v>
      </c>
      <c r="C39" s="777"/>
      <c r="D39" s="777"/>
      <c r="E39" s="777"/>
      <c r="F39" s="777"/>
      <c r="G39" t="s">
        <v>673</v>
      </c>
      <c r="H39" s="965"/>
    </row>
    <row r="40" spans="1:9">
      <c r="A40" s="780" t="s">
        <v>689</v>
      </c>
      <c r="C40" s="777"/>
      <c r="D40" s="777"/>
      <c r="E40" s="777"/>
      <c r="F40" s="777"/>
      <c r="H40" s="965"/>
    </row>
    <row r="41" spans="1:9">
      <c r="A41" t="s">
        <v>690</v>
      </c>
      <c r="B41">
        <v>2</v>
      </c>
      <c r="C41" s="777"/>
      <c r="D41" s="777"/>
      <c r="E41" s="777"/>
      <c r="F41" s="777"/>
      <c r="G41" t="s">
        <v>673</v>
      </c>
      <c r="H41" s="965"/>
      <c r="I41" t="s">
        <v>691</v>
      </c>
    </row>
    <row r="42" spans="1:9">
      <c r="C42" s="777"/>
      <c r="D42" s="777"/>
      <c r="E42" s="777"/>
      <c r="F42" s="777"/>
    </row>
    <row r="43" spans="1:9">
      <c r="A43" s="780" t="s">
        <v>692</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693</v>
      </c>
      <c r="B46">
        <v>4</v>
      </c>
      <c r="C46" s="777"/>
      <c r="D46" s="777"/>
      <c r="E46" s="777"/>
      <c r="F46" s="777"/>
    </row>
    <row r="47" spans="1:9">
      <c r="C47" s="777"/>
      <c r="D47" s="777"/>
      <c r="E47" s="777"/>
      <c r="F47" s="777"/>
    </row>
    <row r="48" spans="1:9">
      <c r="A48" s="780" t="s">
        <v>304</v>
      </c>
      <c r="C48" s="777"/>
      <c r="D48" s="777"/>
      <c r="E48" s="777"/>
      <c r="F48" s="777"/>
    </row>
    <row r="49" spans="1:8">
      <c r="A49" t="s">
        <v>694</v>
      </c>
      <c r="B49" s="791">
        <f>12*34</f>
        <v>408</v>
      </c>
      <c r="C49" s="777">
        <v>1269.8499999999999</v>
      </c>
      <c r="D49" s="777"/>
      <c r="E49" s="777"/>
      <c r="F49" s="777"/>
      <c r="G49" t="s">
        <v>695</v>
      </c>
      <c r="H49" t="s">
        <v>696</v>
      </c>
    </row>
    <row r="50" spans="1:8">
      <c r="A50" t="s">
        <v>307</v>
      </c>
      <c r="B50" s="791">
        <f>20+20+20+50</f>
        <v>110</v>
      </c>
      <c r="C50" s="777"/>
      <c r="D50" s="777"/>
      <c r="E50" s="777"/>
      <c r="F50" s="777"/>
    </row>
    <row r="51" spans="1:8">
      <c r="A51" t="s">
        <v>697</v>
      </c>
      <c r="B51" s="791">
        <v>20</v>
      </c>
      <c r="C51" s="777">
        <v>89.3</v>
      </c>
      <c r="E51" s="777"/>
      <c r="F51" s="777"/>
      <c r="G51" t="s">
        <v>695</v>
      </c>
    </row>
    <row r="52" spans="1:8">
      <c r="A52" t="s">
        <v>698</v>
      </c>
      <c r="B52" s="791">
        <f>15+15</f>
        <v>30</v>
      </c>
      <c r="C52" s="777"/>
      <c r="E52" s="777"/>
      <c r="F52" s="777"/>
    </row>
    <row r="53" spans="1:8">
      <c r="A53" t="s">
        <v>309</v>
      </c>
      <c r="B53" s="791">
        <v>10</v>
      </c>
      <c r="C53" s="777">
        <v>42.06</v>
      </c>
      <c r="D53" s="777"/>
      <c r="E53" s="777"/>
      <c r="F53" s="777"/>
      <c r="G53" t="s">
        <v>695</v>
      </c>
    </row>
    <row r="54" spans="1:8">
      <c r="A54" t="s">
        <v>699</v>
      </c>
      <c r="B54" s="791">
        <f>B50</f>
        <v>110</v>
      </c>
      <c r="C54" s="777"/>
      <c r="D54" s="777"/>
      <c r="E54" s="777"/>
      <c r="F54" s="777"/>
      <c r="G54" t="s">
        <v>695</v>
      </c>
    </row>
    <row r="55" spans="1:8">
      <c r="A55" t="s">
        <v>700</v>
      </c>
      <c r="B55" s="791">
        <f>B51+B52</f>
        <v>50</v>
      </c>
      <c r="C55" s="777"/>
      <c r="D55" s="777"/>
      <c r="E55" s="777"/>
      <c r="F55" s="777"/>
    </row>
    <row r="56" spans="1:8">
      <c r="A56" t="s">
        <v>701</v>
      </c>
      <c r="B56" s="791">
        <f>B49</f>
        <v>408</v>
      </c>
      <c r="C56" s="777">
        <v>156.66999999999999</v>
      </c>
      <c r="D56" s="777"/>
      <c r="E56" s="777"/>
      <c r="F56" s="777"/>
      <c r="G56" t="s">
        <v>695</v>
      </c>
    </row>
    <row r="57" spans="1:8">
      <c r="A57" t="s">
        <v>702</v>
      </c>
      <c r="B57" s="791">
        <f>B53</f>
        <v>10</v>
      </c>
      <c r="C57" s="777"/>
      <c r="D57" s="777"/>
      <c r="E57" s="777"/>
      <c r="F57" s="777"/>
      <c r="G57" t="s">
        <v>695</v>
      </c>
    </row>
    <row r="58" spans="1:8">
      <c r="A58" t="s">
        <v>703</v>
      </c>
      <c r="B58" s="796" t="s">
        <v>704</v>
      </c>
      <c r="C58" s="777"/>
      <c r="D58" s="777"/>
      <c r="E58" s="777"/>
      <c r="F58" s="777"/>
      <c r="G58" s="784" t="s">
        <v>705</v>
      </c>
      <c r="H58" s="795"/>
    </row>
    <row r="59" spans="1:8">
      <c r="A59" t="s">
        <v>706</v>
      </c>
      <c r="B59" s="791">
        <v>1</v>
      </c>
      <c r="C59" s="777" t="s">
        <v>707</v>
      </c>
      <c r="D59" s="777"/>
      <c r="E59" s="777"/>
      <c r="F59" s="777"/>
    </row>
    <row r="60" spans="1:8">
      <c r="A60" t="s">
        <v>708</v>
      </c>
      <c r="B60" s="791">
        <v>1</v>
      </c>
      <c r="C60" s="777" t="s">
        <v>707</v>
      </c>
      <c r="D60" s="777"/>
      <c r="E60" s="777"/>
      <c r="F60" s="777"/>
    </row>
    <row r="61" spans="1:8">
      <c r="A61" t="s">
        <v>709</v>
      </c>
      <c r="B61" s="791">
        <v>1</v>
      </c>
      <c r="C61" s="777" t="s">
        <v>707</v>
      </c>
      <c r="D61" s="777"/>
      <c r="E61" s="777"/>
      <c r="F61" s="777"/>
    </row>
    <row r="62" spans="1:8">
      <c r="A62" t="s">
        <v>710</v>
      </c>
      <c r="B62" s="791">
        <v>1</v>
      </c>
      <c r="C62" s="777" t="s">
        <v>707</v>
      </c>
      <c r="D62" s="777"/>
      <c r="E62" s="777"/>
      <c r="F62" s="777"/>
      <c r="G62" t="s">
        <v>711</v>
      </c>
    </row>
    <row r="63" spans="1:8">
      <c r="A63" t="s">
        <v>712</v>
      </c>
      <c r="B63" s="791">
        <v>2</v>
      </c>
      <c r="C63" s="777"/>
      <c r="D63" s="777"/>
      <c r="E63" s="777"/>
      <c r="F63" s="777"/>
    </row>
    <row r="64" spans="1:8">
      <c r="C64" s="777"/>
      <c r="D64" s="777"/>
      <c r="E64" s="777"/>
      <c r="F64" s="777"/>
    </row>
    <row r="65" spans="1:8">
      <c r="A65" s="780" t="s">
        <v>312</v>
      </c>
      <c r="C65" s="777"/>
      <c r="D65" s="777"/>
      <c r="E65" s="777"/>
      <c r="F65" s="777"/>
    </row>
    <row r="66" spans="1:8">
      <c r="A66" t="s">
        <v>713</v>
      </c>
      <c r="B66" s="791">
        <f>800+800+800+55+55+55+95+95+95+140+140+140</f>
        <v>3270</v>
      </c>
      <c r="C66" s="777"/>
      <c r="D66" s="777"/>
      <c r="E66" s="777">
        <v>620</v>
      </c>
      <c r="F66" s="777">
        <v>1731</v>
      </c>
      <c r="G66" t="s">
        <v>714</v>
      </c>
    </row>
    <row r="67" spans="1:8">
      <c r="A67" t="s">
        <v>715</v>
      </c>
      <c r="B67" s="791">
        <f>20+20+20</f>
        <v>60</v>
      </c>
      <c r="C67" s="777">
        <v>1180</v>
      </c>
      <c r="D67" s="777"/>
      <c r="E67" s="777"/>
      <c r="F67" s="777">
        <v>1180</v>
      </c>
      <c r="G67" t="s">
        <v>714</v>
      </c>
    </row>
    <row r="68" spans="1:8">
      <c r="A68" t="s">
        <v>310</v>
      </c>
      <c r="B68" s="791">
        <f>B66</f>
        <v>3270</v>
      </c>
      <c r="C68" s="777"/>
      <c r="D68" s="777"/>
      <c r="E68" s="777">
        <v>210</v>
      </c>
      <c r="F68" s="777">
        <v>219.5</v>
      </c>
      <c r="G68" t="s">
        <v>714</v>
      </c>
    </row>
    <row r="69" spans="1:8">
      <c r="A69" t="s">
        <v>315</v>
      </c>
      <c r="B69" s="791">
        <f>B67</f>
        <v>60</v>
      </c>
      <c r="C69" s="777">
        <v>110.44</v>
      </c>
      <c r="D69" s="777"/>
      <c r="E69" s="777">
        <v>115</v>
      </c>
      <c r="F69" s="777">
        <v>110.5</v>
      </c>
      <c r="G69" t="s">
        <v>714</v>
      </c>
    </row>
    <row r="70" spans="1:8">
      <c r="A70" t="s">
        <v>317</v>
      </c>
      <c r="B70" s="791">
        <v>2</v>
      </c>
      <c r="C70" s="777"/>
      <c r="D70" s="777"/>
      <c r="E70" s="777"/>
      <c r="F70" s="777"/>
      <c r="G70" t="s">
        <v>716</v>
      </c>
    </row>
    <row r="71" spans="1:8">
      <c r="A71" t="s">
        <v>717</v>
      </c>
      <c r="B71" s="791">
        <v>2</v>
      </c>
      <c r="C71" s="777"/>
      <c r="D71" s="777"/>
      <c r="E71" s="777"/>
      <c r="F71" s="777"/>
      <c r="G71" t="s">
        <v>645</v>
      </c>
      <c r="H71" s="966"/>
    </row>
    <row r="72" spans="1:8">
      <c r="A72" t="s">
        <v>717</v>
      </c>
      <c r="B72" s="791">
        <v>1</v>
      </c>
      <c r="C72" s="777"/>
      <c r="D72" s="777"/>
      <c r="E72" s="777"/>
      <c r="F72" s="777"/>
      <c r="G72" t="s">
        <v>645</v>
      </c>
      <c r="H72" s="966"/>
    </row>
    <row r="73" spans="1:8">
      <c r="A73" t="s">
        <v>718</v>
      </c>
      <c r="B73" s="791">
        <v>2</v>
      </c>
      <c r="C73" s="777"/>
      <c r="D73" s="777"/>
      <c r="E73" s="777"/>
      <c r="F73" s="777"/>
      <c r="G73" t="s">
        <v>672</v>
      </c>
      <c r="H73" s="966"/>
    </row>
    <row r="74" spans="1:8">
      <c r="A74" t="s">
        <v>719</v>
      </c>
      <c r="B74" s="791">
        <v>6</v>
      </c>
      <c r="C74" s="777"/>
      <c r="D74" s="777"/>
      <c r="E74" s="777"/>
      <c r="F74" s="777"/>
      <c r="G74" s="790" t="s">
        <v>331</v>
      </c>
    </row>
    <row r="75" spans="1:8">
      <c r="A75" t="s">
        <v>720</v>
      </c>
      <c r="B75" s="791">
        <v>6</v>
      </c>
      <c r="C75" s="777">
        <v>1214</v>
      </c>
      <c r="D75" s="777"/>
      <c r="E75" s="777"/>
      <c r="F75" s="777">
        <v>1107</v>
      </c>
      <c r="G75" s="790" t="s">
        <v>331</v>
      </c>
    </row>
    <row r="76" spans="1:8">
      <c r="A76" t="s">
        <v>721</v>
      </c>
      <c r="B76" s="791">
        <v>1</v>
      </c>
      <c r="C76" s="777"/>
      <c r="D76" s="777"/>
      <c r="E76" s="777"/>
      <c r="F76" s="777"/>
      <c r="G76" t="s">
        <v>722</v>
      </c>
    </row>
    <row r="77" spans="1:8">
      <c r="A77" t="s">
        <v>723</v>
      </c>
      <c r="B77" s="791">
        <v>3</v>
      </c>
      <c r="C77" s="777"/>
      <c r="D77" s="777"/>
      <c r="E77" s="777"/>
      <c r="F77" s="777"/>
      <c r="G77" t="s">
        <v>722</v>
      </c>
    </row>
    <row r="78" spans="1:8">
      <c r="A78" t="s">
        <v>724</v>
      </c>
      <c r="B78" s="791">
        <v>1</v>
      </c>
      <c r="C78" s="777"/>
      <c r="D78" s="777"/>
      <c r="E78" s="777"/>
      <c r="F78" s="777"/>
      <c r="G78" t="s">
        <v>722</v>
      </c>
    </row>
    <row r="79" spans="1:8">
      <c r="A79" t="s">
        <v>725</v>
      </c>
      <c r="B79" s="791">
        <v>3</v>
      </c>
      <c r="C79" s="777"/>
      <c r="D79" s="777"/>
      <c r="E79" s="777"/>
      <c r="F79" s="777"/>
      <c r="G79" t="s">
        <v>722</v>
      </c>
    </row>
    <row r="80" spans="1:8">
      <c r="A80" t="s">
        <v>726</v>
      </c>
      <c r="B80" s="791">
        <v>1</v>
      </c>
      <c r="C80" s="777"/>
      <c r="D80" s="777"/>
      <c r="E80" s="777"/>
      <c r="F80" s="777"/>
      <c r="G80" s="784" t="s">
        <v>727</v>
      </c>
      <c r="H80" s="784"/>
    </row>
    <row r="81" spans="1:18">
      <c r="C81" s="777"/>
      <c r="D81" s="777"/>
      <c r="E81" s="777"/>
      <c r="F81" s="777"/>
    </row>
    <row r="82" spans="1:18">
      <c r="A82" s="780" t="s">
        <v>321</v>
      </c>
      <c r="C82" s="777"/>
      <c r="D82" s="777"/>
      <c r="E82" s="777"/>
      <c r="F82" s="777"/>
    </row>
    <row r="83" spans="1:18">
      <c r="A83" t="s">
        <v>728</v>
      </c>
      <c r="B83" s="791">
        <v>2</v>
      </c>
      <c r="C83" s="777"/>
      <c r="D83" s="777"/>
      <c r="E83" s="777"/>
      <c r="F83" s="777"/>
      <c r="G83" s="790" t="s">
        <v>331</v>
      </c>
    </row>
    <row r="84" spans="1:18">
      <c r="A84" t="s">
        <v>729</v>
      </c>
      <c r="B84" s="791">
        <v>1</v>
      </c>
      <c r="C84" s="777"/>
      <c r="D84" s="777"/>
      <c r="E84" s="777"/>
      <c r="F84" s="777"/>
      <c r="G84" s="790"/>
    </row>
    <row r="85" spans="1:18">
      <c r="A85" t="s">
        <v>730</v>
      </c>
      <c r="B85" s="791" t="s">
        <v>731</v>
      </c>
      <c r="C85" s="777"/>
      <c r="D85" s="777"/>
      <c r="E85" s="777"/>
      <c r="F85" s="777"/>
      <c r="G85" s="790"/>
    </row>
    <row r="86" spans="1:18">
      <c r="A86" t="s">
        <v>732</v>
      </c>
      <c r="B86" s="791">
        <v>1</v>
      </c>
      <c r="C86" s="777"/>
      <c r="D86" s="777"/>
      <c r="E86" s="777"/>
      <c r="F86" s="777"/>
      <c r="G86" s="794">
        <v>2470</v>
      </c>
      <c r="H86" t="s">
        <v>733</v>
      </c>
    </row>
    <row r="87" spans="1:18">
      <c r="A87" t="s">
        <v>734</v>
      </c>
      <c r="B87" s="791">
        <v>1</v>
      </c>
      <c r="C87" s="777"/>
      <c r="D87" s="777"/>
      <c r="E87" s="777"/>
      <c r="F87" s="777"/>
      <c r="G87" s="777">
        <v>1306.5</v>
      </c>
      <c r="H87" t="s">
        <v>733</v>
      </c>
    </row>
    <row r="88" spans="1:18">
      <c r="A88" t="s">
        <v>735</v>
      </c>
      <c r="B88" s="791">
        <v>3</v>
      </c>
      <c r="C88" s="777"/>
      <c r="D88" s="777"/>
      <c r="E88" s="777"/>
      <c r="F88" s="777"/>
    </row>
    <row r="89" spans="1:18">
      <c r="A89" t="s">
        <v>736</v>
      </c>
      <c r="B89" s="789" t="s">
        <v>737</v>
      </c>
      <c r="C89" s="777"/>
      <c r="D89" s="777"/>
      <c r="E89" s="777"/>
      <c r="F89" s="777"/>
      <c r="G89" s="777">
        <v>18571.36</v>
      </c>
      <c r="H89" t="s">
        <v>738</v>
      </c>
      <c r="I89" s="784" t="s">
        <v>739</v>
      </c>
      <c r="J89" s="784"/>
      <c r="K89" s="784"/>
      <c r="L89" s="784"/>
      <c r="M89" s="784"/>
      <c r="N89" s="784"/>
      <c r="O89" s="784"/>
      <c r="P89" s="784"/>
      <c r="Q89" s="784"/>
      <c r="R89" s="784"/>
    </row>
    <row r="90" spans="1:18">
      <c r="A90" t="s">
        <v>740</v>
      </c>
      <c r="B90" s="791">
        <v>1</v>
      </c>
      <c r="C90" s="777"/>
      <c r="D90" s="777"/>
      <c r="E90" s="777"/>
      <c r="F90" s="777"/>
      <c r="G90" s="777">
        <v>11169</v>
      </c>
      <c r="H90" t="s">
        <v>741</v>
      </c>
    </row>
    <row r="91" spans="1:18">
      <c r="A91" t="s">
        <v>742</v>
      </c>
      <c r="B91" s="791">
        <v>1</v>
      </c>
      <c r="C91" s="777"/>
      <c r="D91" s="777"/>
      <c r="E91" s="777"/>
      <c r="F91" s="777"/>
      <c r="G91" s="777"/>
    </row>
    <row r="92" spans="1:18">
      <c r="A92" t="s">
        <v>743</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744</v>
      </c>
      <c r="C97" s="777"/>
      <c r="D97" s="777"/>
      <c r="E97" s="777"/>
      <c r="F97" s="777"/>
    </row>
    <row r="98" spans="1:10">
      <c r="A98" t="s">
        <v>745</v>
      </c>
      <c r="B98" s="791">
        <v>1300</v>
      </c>
      <c r="C98" s="777"/>
      <c r="D98" s="777"/>
      <c r="E98" s="777"/>
      <c r="F98" s="777"/>
      <c r="G98" s="790"/>
    </row>
    <row r="99" spans="1:10">
      <c r="A99" t="s">
        <v>746</v>
      </c>
      <c r="B99" s="791">
        <v>1</v>
      </c>
      <c r="C99" s="777"/>
      <c r="D99" s="777"/>
      <c r="E99" s="777"/>
      <c r="F99" s="777"/>
      <c r="G99" s="790"/>
    </row>
    <row r="100" spans="1:10">
      <c r="C100" s="777"/>
      <c r="D100" s="777"/>
      <c r="E100" s="777"/>
      <c r="F100" s="777"/>
    </row>
    <row r="101" spans="1:10">
      <c r="A101" s="780" t="s">
        <v>747</v>
      </c>
      <c r="C101" s="777"/>
      <c r="D101" s="777"/>
      <c r="E101" s="777"/>
      <c r="F101" s="777"/>
    </row>
    <row r="102" spans="1:10">
      <c r="A102" t="s">
        <v>748</v>
      </c>
      <c r="B102" s="791">
        <v>1</v>
      </c>
      <c r="C102" s="777"/>
      <c r="D102" s="777"/>
      <c r="E102" s="777"/>
      <c r="F102" s="777"/>
      <c r="G102" s="790" t="s">
        <v>749</v>
      </c>
    </row>
    <row r="103" spans="1:10">
      <c r="A103" t="s">
        <v>750</v>
      </c>
      <c r="B103" s="791">
        <v>3</v>
      </c>
      <c r="C103" s="777"/>
      <c r="D103" s="777"/>
      <c r="E103" s="777"/>
      <c r="F103" s="777"/>
      <c r="G103" s="790" t="s">
        <v>331</v>
      </c>
    </row>
    <row r="104" spans="1:10">
      <c r="A104" t="s">
        <v>751</v>
      </c>
      <c r="B104" s="791">
        <v>1</v>
      </c>
      <c r="C104" s="777"/>
      <c r="D104" s="777"/>
      <c r="E104" s="777"/>
      <c r="F104" s="777"/>
      <c r="G104" s="790"/>
    </row>
    <row r="105" spans="1:10">
      <c r="A105" t="s">
        <v>752</v>
      </c>
      <c r="B105" s="791">
        <v>1</v>
      </c>
      <c r="C105" s="777"/>
      <c r="D105" s="777"/>
      <c r="E105" s="777"/>
      <c r="F105" s="777"/>
      <c r="G105" s="790"/>
    </row>
    <row r="106" spans="1:10">
      <c r="A106" t="s">
        <v>689</v>
      </c>
      <c r="B106" s="791">
        <v>2</v>
      </c>
      <c r="C106" s="777"/>
      <c r="D106" s="777"/>
      <c r="E106" s="777"/>
      <c r="F106" s="777"/>
      <c r="G106" t="s">
        <v>753</v>
      </c>
      <c r="H106" s="793"/>
    </row>
    <row r="107" spans="1:10">
      <c r="A107" t="s">
        <v>670</v>
      </c>
      <c r="B107" s="791">
        <v>1</v>
      </c>
      <c r="C107" s="777"/>
      <c r="D107" s="777"/>
      <c r="E107" s="777"/>
      <c r="F107" s="777"/>
      <c r="G107" t="s">
        <v>753</v>
      </c>
      <c r="H107" s="793"/>
    </row>
    <row r="108" spans="1:10">
      <c r="A108" t="s">
        <v>754</v>
      </c>
      <c r="B108" s="791">
        <f>700+10+10</f>
        <v>720</v>
      </c>
      <c r="C108" s="777"/>
      <c r="D108" s="777"/>
      <c r="E108" s="777"/>
      <c r="F108" s="777"/>
      <c r="G108" s="790" t="s">
        <v>331</v>
      </c>
      <c r="H108" s="793"/>
    </row>
    <row r="109" spans="1:10">
      <c r="A109" t="s">
        <v>755</v>
      </c>
      <c r="B109" s="792" t="s">
        <v>331</v>
      </c>
      <c r="C109" s="777"/>
      <c r="D109" s="777"/>
      <c r="E109" s="777"/>
      <c r="F109" s="777"/>
      <c r="G109" s="790" t="s">
        <v>331</v>
      </c>
    </row>
    <row r="110" spans="1:10">
      <c r="A110" t="s">
        <v>756</v>
      </c>
      <c r="B110" s="791">
        <f>520+90+10+10+10+10</f>
        <v>650</v>
      </c>
      <c r="C110" s="777"/>
      <c r="D110" s="777"/>
      <c r="E110" s="777"/>
      <c r="F110" s="777"/>
      <c r="G110" s="790" t="s">
        <v>331</v>
      </c>
      <c r="J110" s="788"/>
    </row>
    <row r="111" spans="1:10">
      <c r="A111" t="s">
        <v>757</v>
      </c>
      <c r="B111" s="791">
        <f>150+(5*38)+20</f>
        <v>360</v>
      </c>
      <c r="C111" s="777"/>
      <c r="D111" s="777"/>
      <c r="E111" s="777"/>
      <c r="F111" s="777"/>
      <c r="G111" s="790"/>
      <c r="J111" s="788"/>
    </row>
    <row r="112" spans="1:10">
      <c r="A112" t="s">
        <v>758</v>
      </c>
      <c r="B112" s="791">
        <f>45+45+32+32</f>
        <v>154</v>
      </c>
      <c r="C112" s="777"/>
      <c r="D112" s="777"/>
      <c r="E112" s="777"/>
      <c r="F112" s="777"/>
      <c r="G112" s="790"/>
      <c r="J112" s="788"/>
    </row>
    <row r="113" spans="1:10">
      <c r="A113" t="s">
        <v>759</v>
      </c>
      <c r="B113" s="791">
        <v>1236</v>
      </c>
      <c r="C113" s="777"/>
      <c r="D113" s="777"/>
      <c r="E113" s="777"/>
      <c r="F113" s="777"/>
      <c r="G113" s="790" t="s">
        <v>331</v>
      </c>
    </row>
    <row r="114" spans="1:10">
      <c r="A114" t="s">
        <v>760</v>
      </c>
      <c r="B114" s="784">
        <v>30</v>
      </c>
      <c r="C114" s="777"/>
      <c r="D114" s="777"/>
      <c r="E114" s="777"/>
      <c r="F114" s="777"/>
    </row>
    <row r="115" spans="1:10">
      <c r="C115" s="777"/>
      <c r="D115" s="777"/>
      <c r="E115" s="777"/>
      <c r="F115" s="777"/>
    </row>
    <row r="116" spans="1:10">
      <c r="A116" s="780" t="s">
        <v>761</v>
      </c>
      <c r="C116" s="777"/>
      <c r="D116" s="777"/>
      <c r="E116" s="777"/>
      <c r="F116" s="777"/>
    </row>
    <row r="117" spans="1:10">
      <c r="A117" t="s">
        <v>762</v>
      </c>
      <c r="B117" s="789" t="s">
        <v>331</v>
      </c>
      <c r="C117" s="777"/>
      <c r="D117" s="777"/>
      <c r="E117" s="777"/>
      <c r="F117" s="777"/>
      <c r="G117" t="s">
        <v>763</v>
      </c>
      <c r="H117" s="788" t="s">
        <v>764</v>
      </c>
      <c r="I117" s="788"/>
      <c r="J117" s="788"/>
    </row>
    <row r="118" spans="1:10">
      <c r="A118" t="s">
        <v>765</v>
      </c>
      <c r="B118" s="789" t="s">
        <v>331</v>
      </c>
      <c r="C118" s="777"/>
      <c r="D118" s="777"/>
      <c r="E118" s="777"/>
      <c r="F118" s="777"/>
      <c r="G118" s="790" t="s">
        <v>331</v>
      </c>
      <c r="H118" s="788" t="s">
        <v>766</v>
      </c>
      <c r="I118" s="788"/>
    </row>
    <row r="119" spans="1:10">
      <c r="A119" t="s">
        <v>767</v>
      </c>
      <c r="B119" s="789" t="s">
        <v>331</v>
      </c>
      <c r="H119" s="788" t="s">
        <v>766</v>
      </c>
      <c r="I119" s="788"/>
    </row>
    <row r="120" spans="1:10">
      <c r="A120" t="s">
        <v>768</v>
      </c>
      <c r="B120" s="787" t="s">
        <v>769</v>
      </c>
      <c r="G120" t="s">
        <v>716</v>
      </c>
      <c r="H120" s="786" t="s">
        <v>770</v>
      </c>
      <c r="I120" s="786"/>
      <c r="J120" s="786"/>
    </row>
    <row r="121" spans="1:10">
      <c r="A121" t="s">
        <v>771</v>
      </c>
      <c r="B121" s="784">
        <v>1</v>
      </c>
      <c r="D121" s="785">
        <v>3000000</v>
      </c>
      <c r="E121" s="784"/>
      <c r="F121" s="784"/>
      <c r="G121" s="784" t="s">
        <v>772</v>
      </c>
      <c r="H121" s="784" t="s">
        <v>773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774</v>
      </c>
      <c r="O1" s="734" t="str">
        <f>I14&amp;"-"&amp;C12</f>
        <v>PO4625-MON-20260216-Security Fencing and Alarms CC</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787</v>
      </c>
      <c r="D12" s="970"/>
      <c r="E12" s="970"/>
      <c r="F12" s="970"/>
      <c r="G12" s="831"/>
      <c r="H12" s="834" t="s">
        <v>788</v>
      </c>
      <c r="I12" s="836">
        <f ca="1">TODAY()</f>
        <v>46077</v>
      </c>
      <c r="J12" s="831"/>
      <c r="AB12" s="833"/>
    </row>
    <row r="13" spans="2:28" ht="15" customHeight="1">
      <c r="B13" s="834" t="s">
        <v>784</v>
      </c>
      <c r="C13" s="971" t="str">
        <f>VLOOKUP($C$12,[1]Database!$A:$F,2,FALSE)</f>
        <v>TBC</v>
      </c>
      <c r="D13" s="971"/>
      <c r="E13" s="971"/>
      <c r="F13" s="971"/>
      <c r="G13" s="831"/>
      <c r="H13" s="834" t="s">
        <v>789</v>
      </c>
      <c r="I13" s="837" t="str">
        <f>'Project Plan'!J2</f>
        <v>Mondi</v>
      </c>
      <c r="J13" s="831"/>
      <c r="AB13" s="833"/>
    </row>
    <row r="14" spans="2:28" ht="15" customHeight="1">
      <c r="B14" s="834" t="s">
        <v>790</v>
      </c>
      <c r="C14" s="971" t="str">
        <f>VLOOKUP($C$12,[1]Database!$A:$F,3,FALSE)</f>
        <v>94 Alumina Alee</v>
      </c>
      <c r="D14" s="971"/>
      <c r="E14" s="971"/>
      <c r="F14" s="971"/>
      <c r="G14" s="831"/>
      <c r="H14" s="834" t="s">
        <v>791</v>
      </c>
      <c r="I14" s="838" t="s">
        <v>792</v>
      </c>
      <c r="J14" s="831"/>
      <c r="AB14" s="833"/>
    </row>
    <row r="15" spans="2:28" ht="15" customHeight="1">
      <c r="B15" s="834"/>
      <c r="C15" s="971" t="str">
        <f>VLOOKUP($C$12,[1]Database!$A:$F,4,FALSE)</f>
        <v>Alton, Richards Bay</v>
      </c>
      <c r="D15" s="971"/>
      <c r="E15" s="971"/>
      <c r="F15" s="971"/>
      <c r="G15" s="831"/>
      <c r="J15" s="831"/>
      <c r="AB15" s="833"/>
    </row>
    <row r="16" spans="2:28" ht="15" customHeight="1">
      <c r="B16" s="834" t="s">
        <v>793</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30.75" customHeight="1">
      <c r="B19" s="842">
        <v>1</v>
      </c>
      <c r="C19" s="968" t="s">
        <v>799</v>
      </c>
      <c r="D19" s="968"/>
      <c r="E19" s="843" t="s">
        <v>707</v>
      </c>
      <c r="F19" s="842">
        <v>1</v>
      </c>
      <c r="G19" s="842" t="s">
        <v>707</v>
      </c>
      <c r="H19" s="844">
        <v>1271473.46</v>
      </c>
      <c r="I19" s="844">
        <f>H19*F19</f>
        <v>1271473.46</v>
      </c>
      <c r="J19" s="831"/>
      <c r="AB19" s="833"/>
    </row>
    <row r="20" spans="2:28" ht="30.75" customHeight="1">
      <c r="B20" s="842">
        <v>2</v>
      </c>
      <c r="C20" s="968" t="s">
        <v>31</v>
      </c>
      <c r="D20" s="968"/>
      <c r="E20" s="843" t="s">
        <v>707</v>
      </c>
      <c r="F20" s="842">
        <v>1</v>
      </c>
      <c r="G20" s="842" t="s">
        <v>707</v>
      </c>
      <c r="H20" s="844">
        <v>387240</v>
      </c>
      <c r="I20" s="844">
        <f t="shared" ref="I20" si="0">H20*F20</f>
        <v>387240</v>
      </c>
      <c r="J20" s="831"/>
      <c r="AB20" s="833"/>
    </row>
    <row r="21" spans="2:28" ht="15" customHeight="1">
      <c r="B21" s="831"/>
      <c r="C21" s="831"/>
      <c r="D21" s="831"/>
      <c r="E21" s="831"/>
      <c r="F21" s="831"/>
      <c r="G21" s="831"/>
      <c r="H21" s="845" t="s">
        <v>800</v>
      </c>
      <c r="I21" s="846">
        <f>SUM(I19:I20)</f>
        <v>1658713.46</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801</v>
      </c>
      <c r="I22" s="846">
        <f>I21*0.15</f>
        <v>248807.01899999997</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802</v>
      </c>
      <c r="I23" s="846">
        <f>I22+I21</f>
        <v>1907520.4789999998</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72" t="s">
        <v>803</v>
      </c>
      <c r="C26" s="972"/>
      <c r="D26" s="973" t="s">
        <v>804</v>
      </c>
      <c r="E26" s="974"/>
      <c r="F26" s="974"/>
      <c r="G26" s="974"/>
      <c r="H26" s="974"/>
      <c r="I26" s="974"/>
      <c r="J26" s="831"/>
    </row>
    <row r="27" spans="2:28">
      <c r="B27" s="972"/>
      <c r="C27" s="972"/>
      <c r="D27" s="974"/>
      <c r="E27" s="974"/>
      <c r="F27" s="974"/>
      <c r="G27" s="974"/>
      <c r="H27" s="974"/>
      <c r="I27" s="974"/>
      <c r="J27" s="831"/>
    </row>
    <row r="28" spans="2:28">
      <c r="B28" s="972"/>
      <c r="C28" s="972"/>
      <c r="D28" s="974"/>
      <c r="E28" s="974"/>
      <c r="F28" s="974"/>
      <c r="G28" s="974"/>
      <c r="H28" s="974"/>
      <c r="I28" s="974"/>
      <c r="J28" s="831"/>
    </row>
    <row r="29" spans="2:28">
      <c r="B29" s="972"/>
      <c r="C29" s="972"/>
      <c r="D29" s="974"/>
      <c r="E29" s="974"/>
      <c r="F29" s="974"/>
      <c r="G29" s="974"/>
      <c r="H29" s="974"/>
      <c r="I29" s="974"/>
      <c r="J29" s="831"/>
    </row>
    <row r="30" spans="2:28">
      <c r="B30" s="847"/>
      <c r="C30" s="847"/>
      <c r="D30" s="831"/>
      <c r="E30" s="831"/>
      <c r="F30" s="831"/>
      <c r="G30" s="831"/>
      <c r="H30" s="831"/>
      <c r="I30" s="831"/>
      <c r="J30" s="831"/>
    </row>
    <row r="31" spans="2:28">
      <c r="B31" s="972" t="s">
        <v>805</v>
      </c>
      <c r="C31" s="972"/>
      <c r="D31" s="973" t="s">
        <v>806</v>
      </c>
      <c r="E31" s="974"/>
      <c r="F31" s="974"/>
      <c r="G31" s="974"/>
      <c r="H31" s="974"/>
      <c r="I31" s="974"/>
      <c r="J31" s="831"/>
    </row>
    <row r="32" spans="2:28">
      <c r="B32" s="972"/>
      <c r="C32" s="972"/>
      <c r="D32" s="974"/>
      <c r="E32" s="974"/>
      <c r="F32" s="974"/>
      <c r="G32" s="974"/>
      <c r="H32" s="974"/>
      <c r="I32" s="974"/>
      <c r="J32" s="831"/>
    </row>
    <row r="33" spans="2:10">
      <c r="B33" s="972"/>
      <c r="C33" s="972"/>
      <c r="D33" s="974"/>
      <c r="E33" s="974"/>
      <c r="F33" s="974"/>
      <c r="G33" s="974"/>
      <c r="H33" s="974"/>
      <c r="I33" s="974"/>
      <c r="J33" s="831"/>
    </row>
    <row r="34" spans="2:10">
      <c r="B34" s="847"/>
      <c r="C34" s="847"/>
      <c r="D34" s="831"/>
      <c r="E34" s="831"/>
      <c r="F34" s="831"/>
      <c r="G34" s="831"/>
      <c r="H34" s="831"/>
      <c r="I34" s="831"/>
      <c r="J34" s="831"/>
    </row>
    <row r="35" spans="2:10">
      <c r="B35" s="972" t="s">
        <v>8</v>
      </c>
      <c r="C35" s="972"/>
      <c r="D35" s="973" t="s">
        <v>807</v>
      </c>
      <c r="E35" s="974"/>
      <c r="F35" s="974"/>
      <c r="G35" s="974"/>
      <c r="H35" s="974"/>
      <c r="I35" s="974"/>
      <c r="J35" s="831"/>
    </row>
    <row r="36" spans="2:10">
      <c r="B36" s="972"/>
      <c r="C36" s="972"/>
      <c r="D36" s="974"/>
      <c r="E36" s="974"/>
      <c r="F36" s="974"/>
      <c r="G36" s="974"/>
      <c r="H36" s="974"/>
      <c r="I36" s="974"/>
      <c r="J36" s="831"/>
    </row>
    <row r="37" spans="2:10">
      <c r="B37" s="972"/>
      <c r="C37" s="972"/>
      <c r="D37" s="974"/>
      <c r="E37" s="974"/>
      <c r="F37" s="974"/>
      <c r="G37" s="974"/>
      <c r="H37" s="974"/>
      <c r="I37" s="974"/>
      <c r="J37" s="831"/>
    </row>
    <row r="38" spans="2:10">
      <c r="B38" s="831"/>
      <c r="C38" s="831"/>
      <c r="D38" s="831"/>
      <c r="E38" s="831"/>
      <c r="F38" s="831"/>
      <c r="G38" s="831"/>
      <c r="H38" s="831"/>
      <c r="I38" s="831"/>
      <c r="J38" s="831"/>
    </row>
    <row r="39" spans="2:10" ht="15">
      <c r="B39" s="848" t="s">
        <v>808</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774</v>
      </c>
      <c r="O1" s="734" t="str">
        <f>I14&amp;"-"&amp;C12</f>
        <v>PO4624-MON-20260213-NOSA</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809</v>
      </c>
      <c r="D12" s="970"/>
      <c r="E12" s="970"/>
      <c r="F12" s="970"/>
      <c r="G12" s="831"/>
      <c r="H12" s="834" t="s">
        <v>788</v>
      </c>
      <c r="I12" s="836">
        <f ca="1">TODAY()</f>
        <v>46077</v>
      </c>
      <c r="J12" s="831"/>
      <c r="AB12" s="833"/>
    </row>
    <row r="13" spans="2:28" ht="15" customHeight="1">
      <c r="B13" s="834" t="s">
        <v>784</v>
      </c>
      <c r="C13" s="971">
        <f>VLOOKUP($C$12,[1]Database!$A:$F,2,FALSE)</f>
        <v>4240219818</v>
      </c>
      <c r="D13" s="971"/>
      <c r="E13" s="971"/>
      <c r="F13" s="971"/>
      <c r="G13" s="831"/>
      <c r="H13" s="834" t="s">
        <v>789</v>
      </c>
      <c r="I13" s="837" t="str">
        <f>'Project Plan'!J2</f>
        <v>Mondi</v>
      </c>
      <c r="J13" s="831"/>
      <c r="AB13" s="833"/>
    </row>
    <row r="14" spans="2:28" ht="15" customHeight="1">
      <c r="B14" s="834" t="s">
        <v>790</v>
      </c>
      <c r="C14" s="971" t="str">
        <f>VLOOKUP($C$12,[1]Database!$A:$F,3,FALSE)</f>
        <v>Block E, Lakefield Office Park,272 West Ave,</v>
      </c>
      <c r="D14" s="971"/>
      <c r="E14" s="971"/>
      <c r="F14" s="971"/>
      <c r="G14" s="831"/>
      <c r="H14" s="834" t="s">
        <v>791</v>
      </c>
      <c r="I14" s="838" t="s">
        <v>810</v>
      </c>
      <c r="J14" s="831"/>
      <c r="AB14" s="833"/>
    </row>
    <row r="15" spans="2:28" ht="15" customHeight="1">
      <c r="B15" s="834"/>
      <c r="C15" s="971" t="str">
        <f>VLOOKUP($C$12,[1]Database!$A:$F,4,FALSE)</f>
        <v>Centurion, 0157</v>
      </c>
      <c r="D15" s="971"/>
      <c r="E15" s="971"/>
      <c r="F15" s="971"/>
      <c r="G15" s="831"/>
      <c r="J15" s="831"/>
      <c r="AB15" s="833"/>
    </row>
    <row r="16" spans="2:28" ht="15" customHeight="1">
      <c r="B16" s="834" t="s">
        <v>793</v>
      </c>
      <c r="C16" s="971" t="str">
        <f>VLOOKUP($C$12,[1]Database!$A:$F,5,FALSE)&amp;" "&amp;VLOOKUP($C$12,[1]Database!$A:$F,6,FALSE)</f>
        <v>Vaunee Poirier 087 286 8222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30.75" customHeight="1">
      <c r="B19" s="842">
        <v>1</v>
      </c>
      <c r="C19" s="968" t="s">
        <v>811</v>
      </c>
      <c r="D19" s="968"/>
      <c r="E19" s="843"/>
      <c r="F19" s="842">
        <v>16</v>
      </c>
      <c r="G19" s="842"/>
      <c r="H19" s="844">
        <v>1625</v>
      </c>
      <c r="I19" s="844">
        <f>H19*F19</f>
        <v>26000</v>
      </c>
      <c r="J19" s="831"/>
      <c r="AB19" s="833"/>
    </row>
    <row r="20" spans="2:28" ht="30.75" customHeight="1">
      <c r="B20" s="842">
        <v>2</v>
      </c>
      <c r="C20" s="968" t="s">
        <v>812</v>
      </c>
      <c r="D20" s="968"/>
      <c r="E20" s="843"/>
      <c r="F20" s="842">
        <v>2</v>
      </c>
      <c r="G20" s="842"/>
      <c r="H20" s="844">
        <v>1625</v>
      </c>
      <c r="I20" s="844">
        <f>H20*F20</f>
        <v>3250</v>
      </c>
      <c r="J20" s="831"/>
      <c r="AB20" s="833"/>
    </row>
    <row r="21" spans="2:28" ht="30.75" customHeight="1">
      <c r="B21" s="842">
        <v>3</v>
      </c>
      <c r="C21" s="968" t="s">
        <v>813</v>
      </c>
      <c r="D21" s="968"/>
      <c r="E21" s="843"/>
      <c r="F21" s="842">
        <v>1</v>
      </c>
      <c r="G21" s="842"/>
      <c r="H21" s="844">
        <v>1282</v>
      </c>
      <c r="I21" s="844">
        <f>H21*F21</f>
        <v>1282</v>
      </c>
      <c r="J21" s="831"/>
      <c r="AB21" s="833"/>
    </row>
    <row r="22" spans="2:28" ht="30.75" customHeight="1">
      <c r="B22" s="842">
        <v>4</v>
      </c>
      <c r="C22" s="968" t="s">
        <v>814</v>
      </c>
      <c r="D22" s="968"/>
      <c r="E22" s="843"/>
      <c r="F22" s="842">
        <v>63</v>
      </c>
      <c r="G22" s="842"/>
      <c r="H22" s="844">
        <v>7.4</v>
      </c>
      <c r="I22" s="844">
        <f>H22*F22</f>
        <v>466.20000000000005</v>
      </c>
      <c r="J22" s="831"/>
      <c r="AB22" s="833"/>
    </row>
    <row r="23" spans="2:28" ht="15" customHeight="1">
      <c r="B23" s="831"/>
      <c r="C23" s="831"/>
      <c r="D23" s="831"/>
      <c r="E23" s="831"/>
      <c r="F23" s="831"/>
      <c r="G23" s="831"/>
      <c r="H23" s="845" t="s">
        <v>800</v>
      </c>
      <c r="I23" s="846">
        <f>SUM(I19:I22)</f>
        <v>30998.2</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801</v>
      </c>
      <c r="I24" s="846">
        <f>I23*0.15</f>
        <v>4649.7299999999996</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802</v>
      </c>
      <c r="I25" s="846">
        <f>I24+I23</f>
        <v>35647.93</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803</v>
      </c>
      <c r="C28" s="972"/>
      <c r="D28" s="973" t="s">
        <v>804</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805</v>
      </c>
      <c r="C33" s="972"/>
      <c r="D33" s="973" t="s">
        <v>806</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807</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808</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774</v>
      </c>
      <c r="O1" s="734" t="str">
        <f>I14&amp;"-"&amp;C12</f>
        <v>PO4633-MON-20260219-ABB Switchgear</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815</v>
      </c>
      <c r="D12" s="970"/>
      <c r="E12" s="970"/>
      <c r="F12" s="970"/>
      <c r="G12" s="831"/>
      <c r="H12" s="834" t="s">
        <v>788</v>
      </c>
      <c r="I12" s="836">
        <f ca="1">TODAY()</f>
        <v>46077</v>
      </c>
      <c r="J12" s="831"/>
      <c r="AB12" s="833"/>
    </row>
    <row r="13" spans="2:28" ht="15" customHeight="1">
      <c r="B13" s="834" t="s">
        <v>784</v>
      </c>
      <c r="C13" s="971">
        <f>VLOOKUP($C$12,[1]Database!$A:$F,2,FALSE)</f>
        <v>4090136104</v>
      </c>
      <c r="D13" s="971"/>
      <c r="E13" s="971"/>
      <c r="F13" s="971"/>
      <c r="G13" s="831"/>
      <c r="H13" s="834" t="s">
        <v>789</v>
      </c>
      <c r="I13" s="837" t="str">
        <f>'Project Plan'!J2</f>
        <v>Mondi</v>
      </c>
      <c r="J13" s="831"/>
      <c r="AB13" s="833"/>
    </row>
    <row r="14" spans="2:28" ht="15" customHeight="1">
      <c r="B14" s="834" t="s">
        <v>790</v>
      </c>
      <c r="C14" s="971" t="str">
        <f>VLOOKUP($C$12,[1]Database!$A:$F,3,FALSE)</f>
        <v>2 Lake Road,</v>
      </c>
      <c r="D14" s="971"/>
      <c r="E14" s="971"/>
      <c r="F14" s="971"/>
      <c r="G14" s="831"/>
      <c r="H14" s="834" t="s">
        <v>791</v>
      </c>
      <c r="I14" s="838" t="s">
        <v>816</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793</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43.5" customHeight="1">
      <c r="B19" s="842">
        <v>1</v>
      </c>
      <c r="C19" s="968" t="s">
        <v>817</v>
      </c>
      <c r="D19" s="968"/>
      <c r="E19" s="843"/>
      <c r="F19" s="842">
        <v>1</v>
      </c>
      <c r="G19" s="842"/>
      <c r="H19" s="844">
        <v>215379</v>
      </c>
      <c r="I19" s="844">
        <f t="shared" ref="I19:I27" si="0">H19*F19</f>
        <v>215379</v>
      </c>
      <c r="J19" s="831"/>
      <c r="AB19" s="833"/>
    </row>
    <row r="20" spans="2:28" ht="30.75" customHeight="1">
      <c r="B20" s="842">
        <v>2</v>
      </c>
      <c r="C20" s="968" t="s">
        <v>818</v>
      </c>
      <c r="D20" s="968"/>
      <c r="E20" s="843"/>
      <c r="F20" s="842">
        <v>1</v>
      </c>
      <c r="G20" s="842"/>
      <c r="H20" s="844">
        <v>12680</v>
      </c>
      <c r="I20" s="844">
        <f t="shared" si="0"/>
        <v>12680</v>
      </c>
      <c r="J20" s="831"/>
      <c r="AB20" s="833"/>
    </row>
    <row r="21" spans="2:28" ht="47.15" customHeight="1">
      <c r="B21" s="842">
        <v>3</v>
      </c>
      <c r="C21" s="968" t="s">
        <v>819</v>
      </c>
      <c r="D21" s="968"/>
      <c r="E21" s="843"/>
      <c r="F21" s="842">
        <v>1</v>
      </c>
      <c r="G21" s="842"/>
      <c r="H21" s="844">
        <v>359150</v>
      </c>
      <c r="I21" s="844">
        <f t="shared" si="0"/>
        <v>359150</v>
      </c>
      <c r="J21" s="831"/>
      <c r="AB21" s="833"/>
    </row>
    <row r="22" spans="2:28" ht="47.5" customHeight="1">
      <c r="B22" s="842">
        <v>4</v>
      </c>
      <c r="C22" s="968" t="s">
        <v>820</v>
      </c>
      <c r="D22" s="968"/>
      <c r="E22" s="843"/>
      <c r="F22" s="842">
        <v>1</v>
      </c>
      <c r="G22" s="842"/>
      <c r="H22" s="844">
        <v>109224</v>
      </c>
      <c r="I22" s="844">
        <f t="shared" si="0"/>
        <v>109224</v>
      </c>
      <c r="J22" s="831"/>
      <c r="AB22" s="833"/>
    </row>
    <row r="23" spans="2:28" ht="30.75" customHeight="1">
      <c r="B23" s="842">
        <v>5</v>
      </c>
      <c r="C23" s="968" t="s">
        <v>821</v>
      </c>
      <c r="D23" s="968"/>
      <c r="E23" s="843"/>
      <c r="F23" s="842">
        <v>1</v>
      </c>
      <c r="G23" s="842"/>
      <c r="H23" s="844">
        <v>70844</v>
      </c>
      <c r="I23" s="844">
        <f t="shared" si="0"/>
        <v>70844</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800</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801</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802</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803</v>
      </c>
      <c r="C33" s="972"/>
      <c r="D33" s="973" t="s">
        <v>822</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805</v>
      </c>
      <c r="C38" s="972"/>
      <c r="D38" s="973" t="s">
        <v>806</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807</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808</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774</v>
      </c>
      <c r="O1" s="734" t="str">
        <f>I14&amp;"-"&amp;C12</f>
        <v>PO4632-MON-20260219-ABB Switchgear</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815</v>
      </c>
      <c r="D12" s="970"/>
      <c r="E12" s="970"/>
      <c r="F12" s="970"/>
      <c r="G12" s="831"/>
      <c r="H12" s="834" t="s">
        <v>788</v>
      </c>
      <c r="I12" s="836">
        <f ca="1">TODAY()</f>
        <v>46077</v>
      </c>
      <c r="J12" s="831"/>
      <c r="AB12" s="833"/>
    </row>
    <row r="13" spans="2:28" ht="15" customHeight="1">
      <c r="B13" s="834" t="s">
        <v>784</v>
      </c>
      <c r="C13" s="971">
        <f>VLOOKUP($C$12,[1]Database!$A:$F,2,FALSE)</f>
        <v>4090136104</v>
      </c>
      <c r="D13" s="971"/>
      <c r="E13" s="971"/>
      <c r="F13" s="971"/>
      <c r="G13" s="831"/>
      <c r="H13" s="834" t="s">
        <v>789</v>
      </c>
      <c r="I13" s="837" t="str">
        <f>'Project Plan'!J2</f>
        <v>Mondi</v>
      </c>
      <c r="J13" s="831"/>
      <c r="AB13" s="833"/>
    </row>
    <row r="14" spans="2:28" ht="15" customHeight="1">
      <c r="B14" s="834" t="s">
        <v>790</v>
      </c>
      <c r="C14" s="971" t="str">
        <f>VLOOKUP($C$12,[1]Database!$A:$F,3,FALSE)</f>
        <v>2 Lake Road,</v>
      </c>
      <c r="D14" s="971"/>
      <c r="E14" s="971"/>
      <c r="F14" s="971"/>
      <c r="G14" s="831"/>
      <c r="H14" s="834" t="s">
        <v>791</v>
      </c>
      <c r="I14" s="838" t="s">
        <v>823</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793</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43.5" customHeight="1">
      <c r="B19" s="842">
        <v>1</v>
      </c>
      <c r="C19" s="968" t="s">
        <v>824</v>
      </c>
      <c r="D19" s="968"/>
      <c r="E19" s="843"/>
      <c r="F19" s="842">
        <v>3</v>
      </c>
      <c r="G19" s="842"/>
      <c r="H19" s="844">
        <v>741105</v>
      </c>
      <c r="I19" s="844">
        <f t="shared" ref="I19:I27" si="0">H19*F19</f>
        <v>2223315</v>
      </c>
      <c r="J19" s="831"/>
      <c r="AB19" s="833"/>
    </row>
    <row r="20" spans="2:28" ht="30.75" customHeight="1">
      <c r="B20" s="842">
        <v>2</v>
      </c>
      <c r="C20" s="968" t="s">
        <v>825</v>
      </c>
      <c r="D20" s="968"/>
      <c r="E20" s="843"/>
      <c r="F20" s="842">
        <v>1</v>
      </c>
      <c r="G20" s="842"/>
      <c r="H20" s="844">
        <v>853837</v>
      </c>
      <c r="I20" s="844">
        <f t="shared" si="0"/>
        <v>853837</v>
      </c>
      <c r="J20" s="831"/>
      <c r="AB20" s="833"/>
    </row>
    <row r="21" spans="2:28" ht="30.75" customHeight="1">
      <c r="B21" s="842">
        <v>3</v>
      </c>
      <c r="C21" s="968" t="s">
        <v>826</v>
      </c>
      <c r="D21" s="968"/>
      <c r="E21" s="843"/>
      <c r="F21" s="842">
        <v>1</v>
      </c>
      <c r="G21" s="842"/>
      <c r="H21" s="844">
        <v>20342</v>
      </c>
      <c r="I21" s="844">
        <f t="shared" si="0"/>
        <v>20342</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800</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801</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802</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803</v>
      </c>
      <c r="C33" s="972"/>
      <c r="D33" s="973" t="s">
        <v>827</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805</v>
      </c>
      <c r="C38" s="972"/>
      <c r="D38" s="973" t="s">
        <v>806</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807</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808</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774</v>
      </c>
      <c r="O1" s="734" t="str">
        <f>I14&amp;"-"&amp;C12</f>
        <v>PO4612-MON-20260205-Fuducia Construction</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1316</v>
      </c>
      <c r="D12" s="970"/>
      <c r="E12" s="970"/>
      <c r="F12" s="970"/>
      <c r="G12" s="831"/>
      <c r="H12" s="834" t="s">
        <v>788</v>
      </c>
      <c r="I12" s="836">
        <f ca="1">TODAY()</f>
        <v>46077</v>
      </c>
      <c r="J12" s="831"/>
      <c r="AB12" s="833"/>
    </row>
    <row r="13" spans="2:28" ht="15" customHeight="1">
      <c r="B13" s="834" t="s">
        <v>784</v>
      </c>
      <c r="C13" s="971">
        <f>VLOOKUP($C$12,[1]Database!$A:$F,2,FALSE)</f>
        <v>4020257822</v>
      </c>
      <c r="D13" s="971"/>
      <c r="E13" s="971"/>
      <c r="F13" s="971"/>
      <c r="G13" s="831"/>
      <c r="H13" s="834" t="s">
        <v>789</v>
      </c>
      <c r="I13" s="837" t="str">
        <f>'Project Plan'!J2</f>
        <v>Mondi</v>
      </c>
      <c r="J13" s="831"/>
      <c r="AB13" s="833"/>
    </row>
    <row r="14" spans="2:28" ht="15" customHeight="1">
      <c r="B14" s="834" t="s">
        <v>790</v>
      </c>
      <c r="C14" s="971" t="str">
        <f>VLOOKUP($C$12,[1]Database!$A:$F,3,FALSE)</f>
        <v>Unit 10, 25 Ceramic Curve, Alton</v>
      </c>
      <c r="D14" s="971"/>
      <c r="E14" s="971"/>
      <c r="F14" s="971"/>
      <c r="G14" s="831"/>
      <c r="H14" s="834" t="s">
        <v>791</v>
      </c>
      <c r="I14" s="838" t="s">
        <v>1315</v>
      </c>
      <c r="J14" s="831"/>
      <c r="AB14" s="833"/>
    </row>
    <row r="15" spans="2:28" ht="15" customHeight="1">
      <c r="B15" s="834"/>
      <c r="C15" s="971" t="str">
        <f>VLOOKUP($C$12,[1]Database!$A:$F,4,FALSE)</f>
        <v>Richards Bay, 3900</v>
      </c>
      <c r="D15" s="971"/>
      <c r="E15" s="971"/>
      <c r="F15" s="971"/>
      <c r="G15" s="831"/>
      <c r="J15" s="831"/>
      <c r="AB15" s="833"/>
    </row>
    <row r="16" spans="2:28" ht="15" customHeight="1">
      <c r="B16" s="834" t="s">
        <v>793</v>
      </c>
      <c r="C16" s="971" t="str">
        <f>VLOOKUP($C$12,[1]Database!$A:$F,5,FALSE)&amp;" "&amp;VLOOKUP($C$12,[1]Database!$A:$F,6,FALSE)</f>
        <v>Daleen Strydom 0832801534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30.75" customHeight="1">
      <c r="B19" s="842">
        <v>1</v>
      </c>
      <c r="C19" s="968" t="s">
        <v>1317</v>
      </c>
      <c r="D19" s="968"/>
      <c r="E19" s="843"/>
      <c r="F19" s="842">
        <v>1</v>
      </c>
      <c r="G19" s="842"/>
      <c r="H19" s="844">
        <v>370205.5</v>
      </c>
      <c r="I19" s="844">
        <f t="shared" ref="I19:I27" si="0">H19*F19</f>
        <v>370205.5</v>
      </c>
      <c r="J19" s="831"/>
      <c r="AB19" s="833"/>
    </row>
    <row r="20" spans="2:28" ht="30.75" customHeight="1">
      <c r="B20" s="842">
        <v>2</v>
      </c>
      <c r="C20" s="968" t="s">
        <v>1318</v>
      </c>
      <c r="D20" s="968"/>
      <c r="E20" s="843"/>
      <c r="F20" s="842"/>
      <c r="G20" s="842"/>
      <c r="H20" s="844"/>
      <c r="I20" s="844">
        <f t="shared" si="0"/>
        <v>0</v>
      </c>
      <c r="J20" s="831"/>
      <c r="AB20" s="833"/>
    </row>
    <row r="21" spans="2:28" ht="30.75" customHeight="1">
      <c r="B21" s="842">
        <v>3</v>
      </c>
      <c r="C21" s="968" t="s">
        <v>1319</v>
      </c>
      <c r="D21" s="968"/>
      <c r="E21" s="843"/>
      <c r="F21" s="842"/>
      <c r="G21" s="842"/>
      <c r="H21" s="844"/>
      <c r="I21" s="844">
        <f t="shared" si="0"/>
        <v>0</v>
      </c>
      <c r="J21" s="831"/>
      <c r="AB21" s="833"/>
    </row>
    <row r="22" spans="2:28" ht="30.75" customHeight="1">
      <c r="B22" s="842">
        <v>4</v>
      </c>
      <c r="C22" s="968" t="s">
        <v>1320</v>
      </c>
      <c r="D22" s="968"/>
      <c r="E22" s="843"/>
      <c r="F22" s="842"/>
      <c r="G22" s="842"/>
      <c r="H22" s="844"/>
      <c r="I22" s="844">
        <f t="shared" si="0"/>
        <v>0</v>
      </c>
      <c r="J22" s="831"/>
      <c r="AB22" s="833"/>
    </row>
    <row r="23" spans="2:28" ht="30.75" customHeight="1">
      <c r="B23" s="842">
        <v>5</v>
      </c>
      <c r="C23" s="968" t="s">
        <v>1321</v>
      </c>
      <c r="D23" s="968"/>
      <c r="E23" s="843"/>
      <c r="F23" s="842"/>
      <c r="G23" s="842"/>
      <c r="H23" s="844"/>
      <c r="I23" s="844">
        <f t="shared" si="0"/>
        <v>0</v>
      </c>
      <c r="J23" s="831"/>
      <c r="AB23" s="833"/>
    </row>
    <row r="24" spans="2:28" ht="30.75" customHeight="1">
      <c r="B24" s="842">
        <v>6</v>
      </c>
      <c r="C24" s="968" t="s">
        <v>1322</v>
      </c>
      <c r="D24" s="968"/>
      <c r="E24" s="843"/>
      <c r="F24" s="842"/>
      <c r="G24" s="842"/>
      <c r="H24" s="844"/>
      <c r="I24" s="844">
        <f t="shared" si="0"/>
        <v>0</v>
      </c>
      <c r="J24" s="831"/>
      <c r="AB24" s="833"/>
    </row>
    <row r="25" spans="2:28" ht="30.75" customHeight="1">
      <c r="B25" s="842">
        <v>7</v>
      </c>
      <c r="C25" s="968" t="s">
        <v>1323</v>
      </c>
      <c r="D25" s="968"/>
      <c r="E25" s="843"/>
      <c r="F25" s="842"/>
      <c r="G25" s="842"/>
      <c r="H25" s="844"/>
      <c r="I25" s="844">
        <f t="shared" si="0"/>
        <v>0</v>
      </c>
      <c r="J25" s="831"/>
      <c r="AB25" s="833"/>
    </row>
    <row r="26" spans="2:28" ht="30.75" customHeight="1">
      <c r="B26" s="842">
        <v>8</v>
      </c>
      <c r="C26" s="968" t="s">
        <v>1324</v>
      </c>
      <c r="D26" s="968"/>
      <c r="E26" s="843"/>
      <c r="F26" s="842"/>
      <c r="G26" s="842"/>
      <c r="H26" s="844"/>
      <c r="I26" s="844">
        <f t="shared" si="0"/>
        <v>0</v>
      </c>
      <c r="J26" s="831"/>
      <c r="AB26" s="833"/>
    </row>
    <row r="27" spans="2:28" ht="30.75" customHeight="1">
      <c r="B27" s="842">
        <v>9</v>
      </c>
      <c r="C27" s="968" t="s">
        <v>1325</v>
      </c>
      <c r="D27" s="968"/>
      <c r="E27" s="843"/>
      <c r="F27" s="842"/>
      <c r="G27" s="842"/>
      <c r="H27" s="844"/>
      <c r="I27" s="844">
        <f t="shared" si="0"/>
        <v>0</v>
      </c>
      <c r="J27" s="831"/>
      <c r="AB27" s="833"/>
    </row>
    <row r="28" spans="2:28" ht="15" customHeight="1">
      <c r="B28" s="831"/>
      <c r="C28" s="831"/>
      <c r="D28" s="831"/>
      <c r="E28" s="831"/>
      <c r="F28" s="831"/>
      <c r="G28" s="831"/>
      <c r="H28" s="845" t="s">
        <v>800</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801</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802</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803</v>
      </c>
      <c r="C33" s="972"/>
      <c r="D33" s="973" t="s">
        <v>1326</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805</v>
      </c>
      <c r="C38" s="972"/>
      <c r="D38" s="973" t="s">
        <v>806</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807</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808</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774</v>
      </c>
      <c r="O1" s="734" t="str">
        <f>I14&amp;"-"&amp;C12</f>
        <v>PO4640-MON-20260223-Logivest</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1331</v>
      </c>
      <c r="D12" s="970"/>
      <c r="E12" s="970"/>
      <c r="F12" s="970"/>
      <c r="G12" s="831"/>
      <c r="H12" s="834" t="s">
        <v>788</v>
      </c>
      <c r="I12" s="836">
        <f ca="1">TODAY()</f>
        <v>46077</v>
      </c>
      <c r="J12" s="831"/>
      <c r="AB12" s="833"/>
    </row>
    <row r="13" spans="2:28" ht="15" customHeight="1">
      <c r="B13" s="834" t="s">
        <v>784</v>
      </c>
      <c r="C13" s="971">
        <f>VLOOKUP($C$12,[1]Database!$A:$F,2,FALSE)</f>
        <v>4670272949</v>
      </c>
      <c r="D13" s="971"/>
      <c r="E13" s="971"/>
      <c r="F13" s="971"/>
      <c r="G13" s="831"/>
      <c r="H13" s="834" t="s">
        <v>789</v>
      </c>
      <c r="I13" s="837" t="str">
        <f>'Project Plan'!J2</f>
        <v>Mondi</v>
      </c>
      <c r="J13" s="831"/>
      <c r="AB13" s="833"/>
    </row>
    <row r="14" spans="2:28" ht="15" customHeight="1">
      <c r="B14" s="834" t="s">
        <v>790</v>
      </c>
      <c r="C14" s="971" t="str">
        <f>VLOOKUP($C$12,[1]Database!$A:$F,3,FALSE)</f>
        <v>Portion 36 Farm, Zwartkrans, Mongale City</v>
      </c>
      <c r="D14" s="971"/>
      <c r="E14" s="971"/>
      <c r="F14" s="971"/>
      <c r="G14" s="831"/>
      <c r="H14" s="834" t="s">
        <v>791</v>
      </c>
      <c r="I14" s="838" t="s">
        <v>1330</v>
      </c>
      <c r="J14" s="831"/>
      <c r="AB14" s="833"/>
    </row>
    <row r="15" spans="2:28" ht="15" customHeight="1">
      <c r="B15" s="834"/>
      <c r="C15" s="971" t="str">
        <f>VLOOKUP($C$12,[1]Database!$A:$F,4,FALSE)</f>
        <v>Gauteng 1739</v>
      </c>
      <c r="D15" s="971"/>
      <c r="E15" s="971"/>
      <c r="F15" s="971"/>
      <c r="G15" s="831"/>
      <c r="J15" s="831"/>
      <c r="AB15" s="833"/>
    </row>
    <row r="16" spans="2:28" ht="15" customHeight="1">
      <c r="B16" s="834" t="s">
        <v>793</v>
      </c>
      <c r="C16" s="971" t="str">
        <f>VLOOKUP($C$12,[1]Database!$A:$F,5,FALSE)&amp;" "&amp;VLOOKUP($C$12,[1]Database!$A:$F,6,FALSE)</f>
        <v>Vlam Human (082) 771 4092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30.75" customHeight="1">
      <c r="B19" s="842">
        <v>1</v>
      </c>
      <c r="C19" s="968" t="s">
        <v>1332</v>
      </c>
      <c r="D19" s="968"/>
      <c r="E19" s="843"/>
      <c r="F19" s="842">
        <v>1</v>
      </c>
      <c r="G19" s="842"/>
      <c r="H19" s="844">
        <v>364573</v>
      </c>
      <c r="I19" s="844">
        <f>H19*F19</f>
        <v>364573</v>
      </c>
      <c r="J19" s="831"/>
      <c r="AB19" s="833"/>
    </row>
    <row r="20" spans="2:28" ht="40" customHeight="1">
      <c r="B20" s="842">
        <v>2</v>
      </c>
      <c r="C20" s="968" t="s">
        <v>1333</v>
      </c>
      <c r="D20" s="968"/>
      <c r="E20" s="843"/>
      <c r="F20" s="842">
        <v>1</v>
      </c>
      <c r="G20" s="842"/>
      <c r="H20" s="844">
        <v>1297929</v>
      </c>
      <c r="I20" s="844">
        <f>H20*F20</f>
        <v>1297929</v>
      </c>
      <c r="J20" s="831"/>
      <c r="AB20" s="833"/>
    </row>
    <row r="21" spans="2:28" ht="30.75" customHeight="1">
      <c r="B21" s="842">
        <v>3</v>
      </c>
      <c r="C21" s="968" t="s">
        <v>1334</v>
      </c>
      <c r="D21" s="968"/>
      <c r="E21" s="843"/>
      <c r="F21" s="842">
        <v>1</v>
      </c>
      <c r="G21" s="842"/>
      <c r="H21" s="844">
        <v>1014808</v>
      </c>
      <c r="I21" s="844">
        <f>H21*F21</f>
        <v>1014808</v>
      </c>
      <c r="J21" s="831"/>
      <c r="AB21" s="833"/>
    </row>
    <row r="22" spans="2:28" ht="30.75" customHeight="1">
      <c r="B22" s="842">
        <v>4</v>
      </c>
      <c r="C22" s="968" t="s">
        <v>1335</v>
      </c>
      <c r="D22" s="968"/>
      <c r="E22" s="843"/>
      <c r="F22" s="842">
        <v>1</v>
      </c>
      <c r="G22" s="842"/>
      <c r="H22" s="844">
        <v>103779</v>
      </c>
      <c r="I22" s="844">
        <f>H22*F22</f>
        <v>103779</v>
      </c>
      <c r="J22" s="831"/>
      <c r="AB22" s="833"/>
    </row>
    <row r="23" spans="2:28" ht="30.75" customHeight="1">
      <c r="B23" s="842">
        <v>5</v>
      </c>
      <c r="C23" s="968"/>
      <c r="D23" s="968"/>
      <c r="E23" s="843"/>
      <c r="F23" s="842"/>
      <c r="G23" s="842"/>
      <c r="H23" s="844"/>
      <c r="I23" s="844">
        <f>H23*F23</f>
        <v>0</v>
      </c>
      <c r="J23" s="831"/>
      <c r="AB23" s="833"/>
    </row>
    <row r="24" spans="2:28" ht="30.75" customHeight="1">
      <c r="B24" s="842">
        <v>6</v>
      </c>
      <c r="C24" s="968"/>
      <c r="D24" s="968"/>
      <c r="E24" s="843"/>
      <c r="F24" s="842"/>
      <c r="G24" s="842"/>
      <c r="H24" s="844"/>
      <c r="I24" s="844">
        <f>H24*F24</f>
        <v>0</v>
      </c>
      <c r="J24" s="831"/>
      <c r="AB24" s="833"/>
    </row>
    <row r="25" spans="2:28" ht="30.75" customHeight="1">
      <c r="B25" s="842">
        <v>7</v>
      </c>
      <c r="C25" s="968"/>
      <c r="D25" s="968"/>
      <c r="E25" s="843"/>
      <c r="F25" s="842"/>
      <c r="G25" s="842"/>
      <c r="H25" s="844"/>
      <c r="I25" s="844">
        <f>H25*F25</f>
        <v>0</v>
      </c>
      <c r="J25" s="831"/>
      <c r="AB25" s="833"/>
    </row>
    <row r="26" spans="2:28" ht="30.75" customHeight="1">
      <c r="B26" s="842">
        <v>8</v>
      </c>
      <c r="C26" s="968"/>
      <c r="D26" s="968"/>
      <c r="E26" s="843"/>
      <c r="F26" s="842"/>
      <c r="G26" s="842"/>
      <c r="H26" s="844"/>
      <c r="I26" s="844">
        <f>H26*F26</f>
        <v>0</v>
      </c>
      <c r="J26" s="831"/>
      <c r="AB26" s="833"/>
    </row>
    <row r="27" spans="2:28" ht="30.75" customHeight="1">
      <c r="B27" s="842">
        <v>9</v>
      </c>
      <c r="C27" s="968"/>
      <c r="D27" s="968"/>
      <c r="E27" s="843"/>
      <c r="F27" s="842"/>
      <c r="G27" s="842"/>
      <c r="H27" s="844"/>
      <c r="I27" s="844">
        <f>H27*F27</f>
        <v>0</v>
      </c>
      <c r="J27" s="831"/>
      <c r="AB27" s="833"/>
    </row>
    <row r="28" spans="2:28" ht="15" customHeight="1">
      <c r="B28" s="831"/>
      <c r="C28" s="831"/>
      <c r="D28" s="831"/>
      <c r="E28" s="831"/>
      <c r="F28" s="831"/>
      <c r="G28" s="831"/>
      <c r="H28" s="845" t="s">
        <v>800</v>
      </c>
      <c r="I28" s="846">
        <f>SUM(I19:I27)</f>
        <v>2781089</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801</v>
      </c>
      <c r="I29" s="846">
        <f>I28*0.15</f>
        <v>417163.35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802</v>
      </c>
      <c r="I30" s="846">
        <f>I29+I28</f>
        <v>3198252.35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803</v>
      </c>
      <c r="C33" s="972"/>
      <c r="D33" s="973" t="s">
        <v>1336</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805</v>
      </c>
      <c r="C38" s="972"/>
      <c r="D38" s="973" t="s">
        <v>806</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807</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808</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D46</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774</v>
      </c>
      <c r="O1" s="734" t="str">
        <f>I14&amp;"-"&amp;C12</f>
        <v>-Security Fencing and Alarms CC</v>
      </c>
    </row>
    <row r="2" spans="2:28">
      <c r="M2" s="827"/>
    </row>
    <row r="3" spans="2:28">
      <c r="B3" s="828" t="s">
        <v>775</v>
      </c>
      <c r="C3" s="829" t="s">
        <v>776</v>
      </c>
      <c r="D3" s="830"/>
      <c r="E3" s="831"/>
      <c r="F3" s="831"/>
      <c r="G3" s="831"/>
      <c r="H3" s="831"/>
      <c r="I3" s="831"/>
      <c r="J3" s="831"/>
    </row>
    <row r="4" spans="2:28">
      <c r="B4" s="828" t="s">
        <v>777</v>
      </c>
      <c r="C4" s="830" t="s">
        <v>778</v>
      </c>
      <c r="D4" s="831"/>
      <c r="E4" s="831"/>
      <c r="F4" s="831"/>
      <c r="G4" s="831"/>
      <c r="H4" s="831"/>
      <c r="I4" s="831"/>
      <c r="J4" s="831"/>
    </row>
    <row r="5" spans="2:28">
      <c r="B5" s="828" t="s">
        <v>779</v>
      </c>
      <c r="C5" s="830" t="s">
        <v>780</v>
      </c>
      <c r="D5" s="831"/>
      <c r="E5" s="831"/>
      <c r="F5" s="831"/>
      <c r="G5" s="831"/>
      <c r="H5" s="831"/>
      <c r="I5" s="831"/>
      <c r="J5" s="831"/>
    </row>
    <row r="6" spans="2:28">
      <c r="B6" s="828"/>
      <c r="C6" s="830" t="s">
        <v>781</v>
      </c>
      <c r="D6" s="831"/>
      <c r="E6" s="831"/>
      <c r="F6" s="831"/>
      <c r="G6" s="831"/>
      <c r="H6" s="831"/>
      <c r="I6" s="831"/>
      <c r="J6" s="831"/>
    </row>
    <row r="7" spans="2:28">
      <c r="B7" s="828" t="s">
        <v>782</v>
      </c>
      <c r="C7" s="830" t="s">
        <v>783</v>
      </c>
      <c r="D7" s="831"/>
      <c r="E7" s="831"/>
      <c r="F7" s="831"/>
      <c r="G7" s="831"/>
      <c r="H7" s="831"/>
      <c r="I7" s="831"/>
      <c r="J7" s="831"/>
    </row>
    <row r="8" spans="2:28">
      <c r="B8" s="828" t="s">
        <v>784</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785</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786</v>
      </c>
      <c r="C12" s="970" t="s">
        <v>787</v>
      </c>
      <c r="D12" s="970"/>
      <c r="E12" s="970"/>
      <c r="F12" s="970"/>
      <c r="G12" s="831"/>
      <c r="H12" s="834" t="s">
        <v>788</v>
      </c>
      <c r="I12" s="836">
        <f ca="1">TODAY()</f>
        <v>46077</v>
      </c>
      <c r="J12" s="831"/>
      <c r="AB12" s="833"/>
    </row>
    <row r="13" spans="2:28" ht="15" customHeight="1">
      <c r="B13" s="834" t="s">
        <v>784</v>
      </c>
      <c r="C13" s="971" t="str">
        <f>VLOOKUP($C$12,[1]Database!$A:$F,2,FALSE)</f>
        <v>TBC</v>
      </c>
      <c r="D13" s="971"/>
      <c r="E13" s="971"/>
      <c r="F13" s="971"/>
      <c r="G13" s="831"/>
      <c r="H13" s="834" t="s">
        <v>789</v>
      </c>
      <c r="I13" s="837" t="str">
        <f>'Project Plan'!J2</f>
        <v>Mondi</v>
      </c>
      <c r="J13" s="831"/>
      <c r="AB13" s="833"/>
    </row>
    <row r="14" spans="2:28" ht="15" customHeight="1">
      <c r="B14" s="834" t="s">
        <v>790</v>
      </c>
      <c r="C14" s="971" t="str">
        <f>VLOOKUP($C$12,[1]Database!$A:$F,3,FALSE)</f>
        <v>94 Alumina Alee</v>
      </c>
      <c r="D14" s="971"/>
      <c r="E14" s="971"/>
      <c r="F14" s="971"/>
      <c r="G14" s="831"/>
      <c r="H14" s="834" t="s">
        <v>791</v>
      </c>
      <c r="I14" s="838"/>
      <c r="J14" s="831"/>
      <c r="AB14" s="833"/>
    </row>
    <row r="15" spans="2:28" ht="15" customHeight="1">
      <c r="B15" s="834"/>
      <c r="C15" s="971" t="str">
        <f>VLOOKUP($C$12,[1]Database!$A:$F,4,FALSE)</f>
        <v>Alton, Richards Bay</v>
      </c>
      <c r="D15" s="971"/>
      <c r="E15" s="971"/>
      <c r="F15" s="971"/>
      <c r="G15" s="831"/>
      <c r="J15" s="831"/>
      <c r="AB15" s="833"/>
    </row>
    <row r="16" spans="2:28" ht="15" customHeight="1">
      <c r="B16" s="834" t="s">
        <v>793</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794</v>
      </c>
      <c r="C18" s="967" t="s">
        <v>284</v>
      </c>
      <c r="D18" s="967"/>
      <c r="E18" s="841" t="s">
        <v>795</v>
      </c>
      <c r="F18" s="840" t="s">
        <v>285</v>
      </c>
      <c r="G18" s="840" t="s">
        <v>796</v>
      </c>
      <c r="H18" s="839" t="s">
        <v>797</v>
      </c>
      <c r="I18" s="840" t="s">
        <v>798</v>
      </c>
      <c r="J18" s="831"/>
      <c r="AB18" s="833"/>
    </row>
    <row r="19" spans="2:28" ht="30.75" customHeight="1">
      <c r="B19" s="842">
        <v>1</v>
      </c>
      <c r="C19" s="968"/>
      <c r="D19" s="968"/>
      <c r="E19" s="843"/>
      <c r="F19" s="842"/>
      <c r="G19" s="842"/>
      <c r="H19" s="844"/>
      <c r="I19" s="844">
        <f>H19*F19</f>
        <v>0</v>
      </c>
      <c r="J19" s="831"/>
      <c r="AB19" s="833"/>
    </row>
    <row r="20" spans="2:28" ht="30.75" customHeight="1">
      <c r="B20" s="842">
        <v>2</v>
      </c>
      <c r="C20" s="968"/>
      <c r="D20" s="968"/>
      <c r="E20" s="843"/>
      <c r="F20" s="842"/>
      <c r="G20" s="842"/>
      <c r="H20" s="844"/>
      <c r="I20" s="844">
        <f t="shared" ref="I20:I27" si="0">H20*F20</f>
        <v>0</v>
      </c>
      <c r="J20" s="831"/>
      <c r="AB20" s="833"/>
    </row>
    <row r="21" spans="2:28" ht="30.75" customHeight="1">
      <c r="B21" s="842">
        <v>3</v>
      </c>
      <c r="C21" s="968"/>
      <c r="D21" s="968"/>
      <c r="E21" s="843"/>
      <c r="F21" s="842"/>
      <c r="G21" s="842"/>
      <c r="H21" s="844"/>
      <c r="I21" s="844">
        <f t="shared" si="0"/>
        <v>0</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800</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801</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802</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803</v>
      </c>
      <c r="C33" s="972"/>
      <c r="D33" s="973" t="s">
        <v>804</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805</v>
      </c>
      <c r="C38" s="972"/>
      <c r="D38" s="973" t="s">
        <v>806</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807</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808</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828</v>
      </c>
      <c r="C2" s="127"/>
      <c r="D2" s="127"/>
      <c r="E2" s="127"/>
      <c r="F2" s="127"/>
      <c r="G2" s="127"/>
      <c r="H2" s="127"/>
      <c r="J2" s="141"/>
      <c r="R2" s="127"/>
      <c r="S2" s="141"/>
    </row>
    <row r="3" spans="1:21" s="92" customFormat="1" ht="13">
      <c r="B3" s="116"/>
      <c r="D3" s="124" t="s">
        <v>829</v>
      </c>
      <c r="F3" s="124" t="s">
        <v>830</v>
      </c>
      <c r="J3" s="141"/>
      <c r="L3" s="402" t="s">
        <v>831</v>
      </c>
      <c r="N3" s="402" t="s">
        <v>832</v>
      </c>
      <c r="S3" s="141"/>
    </row>
    <row r="4" spans="1:21" s="92" customFormat="1" ht="13">
      <c r="B4" s="342">
        <v>1</v>
      </c>
      <c r="C4" s="343" t="s">
        <v>833</v>
      </c>
      <c r="D4" s="344">
        <f>'Project Plan'!J8</f>
        <v>144482290.75276899</v>
      </c>
      <c r="E4" s="345"/>
      <c r="F4" s="810">
        <v>151630611.96758789</v>
      </c>
      <c r="H4" s="115"/>
      <c r="J4" s="141"/>
      <c r="L4" s="367"/>
      <c r="N4" s="367" t="s">
        <v>367</v>
      </c>
      <c r="Q4" s="129"/>
      <c r="S4" s="141"/>
    </row>
    <row r="5" spans="1:21" s="92" customFormat="1" ht="15" customHeight="1">
      <c r="B5" s="342">
        <v>2</v>
      </c>
      <c r="C5" s="343" t="s">
        <v>834</v>
      </c>
      <c r="D5" s="344">
        <f>+'Expenditure Tracking'!F5</f>
        <v>136620512.96264103</v>
      </c>
      <c r="E5" s="345"/>
      <c r="F5" s="344">
        <f>+'Expenditure Tracking'!J5</f>
        <v>143590782.60257795</v>
      </c>
      <c r="H5" s="115"/>
      <c r="J5" s="141"/>
      <c r="L5" s="367"/>
      <c r="N5" s="403"/>
      <c r="S5" s="141"/>
    </row>
    <row r="6" spans="1:21" s="92" customFormat="1" ht="15" customHeight="1">
      <c r="B6" s="342">
        <v>3</v>
      </c>
      <c r="C6" s="343" t="s">
        <v>835</v>
      </c>
      <c r="D6" s="344">
        <f>+D4-D5</f>
        <v>7861777.7901279628</v>
      </c>
      <c r="E6" s="345"/>
      <c r="F6" s="344">
        <f>+F4-F5</f>
        <v>8039829.3650099337</v>
      </c>
      <c r="H6" s="115"/>
      <c r="J6" s="141"/>
      <c r="L6" s="367"/>
      <c r="N6" s="367" t="s">
        <v>836</v>
      </c>
      <c r="S6" s="141"/>
    </row>
    <row r="7" spans="1:21" s="92" customFormat="1" ht="15" customHeight="1" thickBot="1">
      <c r="B7" s="342">
        <v>4</v>
      </c>
      <c r="C7" s="343" t="s">
        <v>837</v>
      </c>
      <c r="D7" s="346">
        <f>+D6/D4</f>
        <v>5.4413435370987098E-2</v>
      </c>
      <c r="E7" s="345"/>
      <c r="F7" s="346">
        <f>+F6/F4</f>
        <v>5.302246862083828E-2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838</v>
      </c>
      <c r="J10" s="141"/>
      <c r="S10" s="141"/>
      <c r="U10" s="127"/>
    </row>
    <row r="11" spans="1:21" s="92" customFormat="1" ht="14.25" customHeight="1">
      <c r="B11" s="116"/>
      <c r="J11" s="141"/>
      <c r="S11" s="141"/>
    </row>
    <row r="12" spans="1:21" s="92" customFormat="1" ht="26">
      <c r="B12" s="131" t="s">
        <v>340</v>
      </c>
      <c r="C12" s="132" t="s">
        <v>839</v>
      </c>
      <c r="D12" s="133"/>
      <c r="E12" s="131" t="s">
        <v>840</v>
      </c>
      <c r="F12" s="131" t="s">
        <v>841</v>
      </c>
      <c r="H12" s="347" t="s">
        <v>842</v>
      </c>
      <c r="J12" s="141"/>
      <c r="L12" s="157" t="s">
        <v>843</v>
      </c>
      <c r="M12" s="134"/>
      <c r="N12" s="157" t="s">
        <v>844</v>
      </c>
      <c r="O12" s="128"/>
      <c r="P12" s="157" t="s">
        <v>845</v>
      </c>
      <c r="R12" s="370" t="s">
        <v>846</v>
      </c>
      <c r="S12" s="141"/>
    </row>
    <row r="13" spans="1:21" s="92" customFormat="1" ht="13">
      <c r="B13" s="342">
        <v>1</v>
      </c>
      <c r="C13" s="975" t="s">
        <v>847</v>
      </c>
      <c r="D13" s="97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75" t="s">
        <v>848</v>
      </c>
      <c r="D14" s="976"/>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75" t="s">
        <v>849</v>
      </c>
      <c r="D15" s="97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75" t="s">
        <v>849</v>
      </c>
      <c r="D16" s="97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75" t="s">
        <v>850</v>
      </c>
      <c r="D17" s="97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75" t="s">
        <v>851</v>
      </c>
      <c r="D18" s="97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75" t="s">
        <v>851</v>
      </c>
      <c r="D19" s="97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75" t="s">
        <v>851</v>
      </c>
      <c r="D20" s="97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75" t="s">
        <v>852</v>
      </c>
      <c r="D21" s="97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75" t="s">
        <v>853</v>
      </c>
      <c r="D22" s="97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75" t="s">
        <v>854</v>
      </c>
      <c r="D23" s="97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75" t="s">
        <v>854</v>
      </c>
      <c r="D24" s="97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75" t="s">
        <v>855</v>
      </c>
      <c r="D25" s="97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75" t="s">
        <v>856</v>
      </c>
      <c r="D26" s="97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75" t="s">
        <v>54</v>
      </c>
      <c r="D27" s="97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77" t="s">
        <v>857</v>
      </c>
      <c r="D28" s="978"/>
      <c r="E28" s="811"/>
      <c r="F28" s="812">
        <f>F5*0.05</f>
        <v>7179539.1301288977</v>
      </c>
      <c r="G28" s="345"/>
      <c r="H28" s="138"/>
      <c r="J28" s="141"/>
      <c r="L28" s="359"/>
      <c r="N28" s="138"/>
      <c r="O28" s="128"/>
      <c r="P28" s="139"/>
      <c r="R28" s="371"/>
      <c r="S28" s="141"/>
    </row>
    <row r="29" spans="2:19" s="92" customFormat="1" ht="12.5">
      <c r="B29" s="342">
        <v>17</v>
      </c>
      <c r="C29" s="975"/>
      <c r="D29" s="976"/>
      <c r="E29" s="135"/>
      <c r="F29" s="136"/>
      <c r="G29" s="345"/>
      <c r="H29" s="138"/>
      <c r="J29" s="141"/>
      <c r="L29" s="359"/>
      <c r="N29" s="138"/>
      <c r="O29" s="128"/>
      <c r="P29" s="139"/>
      <c r="R29" s="371"/>
      <c r="S29" s="141"/>
    </row>
    <row r="30" spans="2:19" s="92" customFormat="1" ht="12.5">
      <c r="B30" s="154">
        <v>18</v>
      </c>
      <c r="C30" s="975"/>
      <c r="D30" s="976"/>
      <c r="E30" s="135"/>
      <c r="F30" s="136"/>
      <c r="G30" s="345"/>
      <c r="H30" s="138"/>
      <c r="J30" s="141"/>
      <c r="L30" s="359"/>
      <c r="N30" s="138"/>
      <c r="O30" s="128"/>
      <c r="P30" s="139"/>
      <c r="R30" s="371"/>
      <c r="S30" s="141"/>
    </row>
    <row r="31" spans="2:19" s="92" customFormat="1" ht="12.5">
      <c r="B31" s="342">
        <v>19</v>
      </c>
      <c r="C31" s="975"/>
      <c r="D31" s="976"/>
      <c r="E31" s="135"/>
      <c r="F31" s="136"/>
      <c r="G31" s="345"/>
      <c r="H31" s="138"/>
      <c r="J31" s="141"/>
      <c r="L31" s="359"/>
      <c r="N31" s="138"/>
      <c r="O31" s="128"/>
      <c r="P31" s="139"/>
      <c r="R31" s="371"/>
      <c r="S31" s="141"/>
    </row>
    <row r="32" spans="2:19" s="92" customFormat="1" ht="12.5">
      <c r="B32" s="154">
        <v>20</v>
      </c>
      <c r="C32" s="975"/>
      <c r="D32" s="976"/>
      <c r="E32" s="135"/>
      <c r="F32" s="136"/>
      <c r="G32" s="345"/>
      <c r="H32" s="138"/>
      <c r="J32" s="141"/>
      <c r="L32" s="359"/>
      <c r="N32" s="138"/>
      <c r="O32" s="128"/>
      <c r="P32" s="139"/>
      <c r="R32" s="371"/>
      <c r="S32" s="141"/>
    </row>
    <row r="33" spans="2:19" s="92" customFormat="1" ht="12.5">
      <c r="B33" s="342">
        <v>21</v>
      </c>
      <c r="C33" s="975"/>
      <c r="D33" s="976"/>
      <c r="E33" s="135"/>
      <c r="F33" s="136"/>
      <c r="G33" s="345"/>
      <c r="H33" s="138"/>
      <c r="J33" s="141"/>
      <c r="L33" s="359"/>
      <c r="N33" s="138"/>
      <c r="O33" s="128"/>
      <c r="P33" s="139"/>
      <c r="R33" s="371"/>
      <c r="S33" s="141"/>
    </row>
    <row r="34" spans="2:19" s="92" customFormat="1" ht="12.5">
      <c r="B34" s="154">
        <v>22</v>
      </c>
      <c r="C34" s="975"/>
      <c r="D34" s="976"/>
      <c r="E34" s="135"/>
      <c r="F34" s="136"/>
      <c r="G34" s="345"/>
      <c r="H34" s="138"/>
      <c r="J34" s="141"/>
      <c r="L34" s="139"/>
      <c r="M34" s="128"/>
      <c r="N34" s="139"/>
      <c r="O34" s="128"/>
      <c r="P34" s="139"/>
      <c r="R34" s="371"/>
      <c r="S34" s="141"/>
    </row>
    <row r="35" spans="2:19" s="92" customFormat="1" ht="12.5">
      <c r="B35" s="342">
        <v>23</v>
      </c>
      <c r="C35" s="979"/>
      <c r="D35" s="980"/>
      <c r="E35" s="135"/>
      <c r="F35" s="136"/>
      <c r="G35" s="345"/>
      <c r="H35" s="138"/>
      <c r="J35" s="141"/>
      <c r="L35" s="139"/>
      <c r="N35" s="139"/>
      <c r="O35" s="128"/>
      <c r="P35" s="139"/>
      <c r="R35" s="371"/>
      <c r="S35" s="141"/>
    </row>
    <row r="36" spans="2:19" s="92" customFormat="1" ht="12.5">
      <c r="B36" s="154">
        <v>24</v>
      </c>
      <c r="C36" s="975"/>
      <c r="D36" s="976"/>
      <c r="E36" s="135"/>
      <c r="F36" s="136"/>
      <c r="G36" s="345"/>
      <c r="H36" s="138"/>
      <c r="J36" s="141"/>
      <c r="L36" s="139"/>
      <c r="M36" s="137"/>
      <c r="N36" s="139"/>
      <c r="O36" s="128"/>
      <c r="P36" s="139"/>
      <c r="R36" s="371"/>
      <c r="S36" s="141"/>
    </row>
    <row r="37" spans="2:19" s="92" customFormat="1" ht="12.5">
      <c r="B37" s="342">
        <v>25</v>
      </c>
      <c r="C37" s="975"/>
      <c r="D37" s="97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151661829.88289788</v>
      </c>
      <c r="J39" s="141"/>
      <c r="S39" s="141"/>
    </row>
    <row r="40" spans="2:19" s="141" customFormat="1" ht="25.5" customHeight="1">
      <c r="B40" s="142"/>
      <c r="F40" s="143"/>
    </row>
    <row r="41" spans="2:19" s="92" customFormat="1" ht="24.75" customHeight="1">
      <c r="B41" s="144" t="s">
        <v>858</v>
      </c>
      <c r="C41" s="145" t="s">
        <v>859</v>
      </c>
      <c r="D41" s="145"/>
      <c r="F41" s="146"/>
    </row>
    <row r="42" spans="2:19" s="92" customFormat="1" ht="12.5">
      <c r="C42" s="147" t="s">
        <v>860</v>
      </c>
      <c r="D42" s="148"/>
      <c r="F42" s="149"/>
    </row>
    <row r="43" spans="2:19" s="92" customFormat="1" ht="12.5">
      <c r="C43" s="147" t="s">
        <v>861</v>
      </c>
      <c r="D43" s="148"/>
    </row>
    <row r="44" spans="2:19" s="92" customFormat="1" ht="12.5">
      <c r="C44" s="150" t="s">
        <v>862</v>
      </c>
      <c r="D44" s="151"/>
    </row>
    <row r="45" spans="2:19" s="92" customFormat="1" ht="12.5">
      <c r="C45" s="152" t="s">
        <v>863</v>
      </c>
      <c r="D45" s="148"/>
    </row>
    <row r="46" spans="2:19" s="92" customFormat="1" ht="12.5">
      <c r="B46" s="116"/>
      <c r="C46" s="152" t="s">
        <v>864</v>
      </c>
      <c r="D46" s="148"/>
    </row>
    <row r="47" spans="2:19" s="92" customFormat="1" ht="12.5">
      <c r="B47" s="116"/>
      <c r="C47" s="92" t="s">
        <v>865</v>
      </c>
    </row>
    <row r="48" spans="2:19" s="92" customFormat="1" ht="27.75" customHeight="1">
      <c r="B48" s="116"/>
      <c r="C48" s="153" t="s">
        <v>866</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75" t="s">
        <v>850</v>
      </c>
      <c r="D68" s="976"/>
      <c r="E68" s="135">
        <f t="shared" ref="E68:E77" si="5">F68/$D$4</f>
        <v>2.0071664041943642E-2</v>
      </c>
      <c r="F68" s="136">
        <v>2900000</v>
      </c>
      <c r="G68" s="345"/>
      <c r="H68" s="138">
        <v>45838</v>
      </c>
    </row>
    <row r="69" spans="2:8" s="92" customFormat="1" ht="12.5">
      <c r="C69" s="975" t="s">
        <v>851</v>
      </c>
      <c r="D69" s="976"/>
      <c r="E69" s="135">
        <f t="shared" si="5"/>
        <v>4.1527580776435126E-2</v>
      </c>
      <c r="F69" s="136">
        <v>6000000</v>
      </c>
      <c r="G69" s="345"/>
      <c r="H69" s="138">
        <v>45852</v>
      </c>
    </row>
    <row r="70" spans="2:8" s="92" customFormat="1" ht="12.5">
      <c r="C70" s="975" t="s">
        <v>851</v>
      </c>
      <c r="D70" s="976"/>
      <c r="E70" s="135">
        <f t="shared" si="5"/>
        <v>0.12458274232930537</v>
      </c>
      <c r="F70" s="136">
        <v>18000000</v>
      </c>
      <c r="G70" s="345"/>
      <c r="H70" s="138">
        <v>45866</v>
      </c>
    </row>
    <row r="71" spans="2:8" s="92" customFormat="1" ht="12.5">
      <c r="C71" s="975" t="s">
        <v>851</v>
      </c>
      <c r="D71" s="976"/>
      <c r="E71" s="135">
        <f t="shared" si="5"/>
        <v>6.2291371164652685E-2</v>
      </c>
      <c r="F71" s="136">
        <v>9000000</v>
      </c>
      <c r="G71" s="345"/>
      <c r="H71" s="138">
        <v>45880</v>
      </c>
    </row>
    <row r="72" spans="2:8" s="92" customFormat="1" ht="12.5">
      <c r="C72" s="975" t="s">
        <v>852</v>
      </c>
      <c r="D72" s="976"/>
      <c r="E72" s="135">
        <f t="shared" si="5"/>
        <v>0.34952380486832896</v>
      </c>
      <c r="F72" s="136">
        <v>50500000</v>
      </c>
      <c r="G72" s="345"/>
      <c r="H72" s="138">
        <v>45894</v>
      </c>
    </row>
    <row r="73" spans="2:8" s="92" customFormat="1" ht="12.5">
      <c r="C73" s="975" t="s">
        <v>853</v>
      </c>
      <c r="D73" s="976"/>
      <c r="E73" s="135">
        <f t="shared" si="5"/>
        <v>6.921263462739187E-2</v>
      </c>
      <c r="F73" s="136">
        <v>10000000</v>
      </c>
      <c r="G73" s="345"/>
      <c r="H73" s="138">
        <v>45908</v>
      </c>
    </row>
    <row r="74" spans="2:8" s="92" customFormat="1" ht="12.5">
      <c r="C74" s="975" t="s">
        <v>854</v>
      </c>
      <c r="D74" s="976"/>
      <c r="E74" s="135">
        <f t="shared" si="5"/>
        <v>3.806694904506553E-2</v>
      </c>
      <c r="F74" s="136">
        <v>5500000</v>
      </c>
      <c r="G74" s="345"/>
      <c r="H74" s="138">
        <v>45929</v>
      </c>
    </row>
    <row r="75" spans="2:8" s="92" customFormat="1" ht="12.5">
      <c r="C75" s="975" t="s">
        <v>854</v>
      </c>
      <c r="D75" s="976"/>
      <c r="E75" s="135">
        <f t="shared" si="5"/>
        <v>3.806694904506553E-2</v>
      </c>
      <c r="F75" s="136">
        <v>5500000</v>
      </c>
      <c r="G75" s="345"/>
      <c r="H75" s="138">
        <v>45957</v>
      </c>
    </row>
    <row r="76" spans="2:8" s="92" customFormat="1" ht="12.5">
      <c r="B76" s="348"/>
      <c r="C76" s="975" t="s">
        <v>855</v>
      </c>
      <c r="D76" s="976"/>
      <c r="E76" s="135">
        <f t="shared" si="5"/>
        <v>5.1909475970543906E-2</v>
      </c>
      <c r="F76" s="136">
        <v>7500000</v>
      </c>
      <c r="G76" s="345"/>
      <c r="H76" s="138">
        <v>45978</v>
      </c>
    </row>
    <row r="77" spans="2:8" s="92" customFormat="1" ht="12.5">
      <c r="B77" s="348"/>
      <c r="C77" s="975" t="s">
        <v>856</v>
      </c>
      <c r="D77" s="976"/>
      <c r="E77" s="135">
        <f t="shared" si="5"/>
        <v>1.0381895194108781E-2</v>
      </c>
      <c r="F77" s="136">
        <v>1500000</v>
      </c>
      <c r="G77" s="345"/>
      <c r="H77" s="138">
        <v>45992</v>
      </c>
    </row>
    <row r="78" spans="2:8" s="92" customFormat="1" ht="12.5">
      <c r="B78" s="348"/>
      <c r="C78" s="975" t="s">
        <v>54</v>
      </c>
      <c r="D78" s="97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867</v>
      </c>
    </row>
    <row r="2" spans="3:14" ht="13" thickBot="1">
      <c r="C2" s="83" t="s">
        <v>868</v>
      </c>
      <c r="F2" s="83" t="s">
        <v>869</v>
      </c>
      <c r="H2" s="83" t="s">
        <v>115</v>
      </c>
      <c r="J2" s="858" t="e" vm="1">
        <f>[1]!Table1[[#This Row],[Supplier]]</f>
        <v>#REF!</v>
      </c>
      <c r="L2" s="859" t="s">
        <v>870</v>
      </c>
      <c r="N2" s="859" t="s">
        <v>871</v>
      </c>
    </row>
    <row r="3" spans="3:14">
      <c r="C3" s="79">
        <v>45658</v>
      </c>
      <c r="D3" s="73" t="s">
        <v>872</v>
      </c>
      <c r="F3" s="81" t="s">
        <v>873</v>
      </c>
      <c r="H3" s="740" t="s">
        <v>131</v>
      </c>
      <c r="J3" s="858" t="e" vm="1">
        <f>[1]!Table1[[#This Row],[Supplier]]</f>
        <v>#REF!</v>
      </c>
      <c r="L3" s="81" t="s">
        <v>874</v>
      </c>
      <c r="N3" s="81" t="s">
        <v>65</v>
      </c>
    </row>
    <row r="4" spans="3:14">
      <c r="C4" s="79">
        <v>45737</v>
      </c>
      <c r="D4" s="73" t="s">
        <v>875</v>
      </c>
      <c r="F4" s="81" t="s">
        <v>141</v>
      </c>
      <c r="H4" s="741" t="s">
        <v>136</v>
      </c>
      <c r="J4" s="858" t="e" vm="1">
        <f>[1]!Table1[[#This Row],[Supplier]]</f>
        <v>#REF!</v>
      </c>
      <c r="L4" s="81" t="s">
        <v>339</v>
      </c>
      <c r="N4" s="81" t="s">
        <v>876</v>
      </c>
    </row>
    <row r="5" spans="3:14" ht="13" thickBot="1">
      <c r="C5" s="79">
        <v>45765</v>
      </c>
      <c r="D5" s="73" t="s">
        <v>877</v>
      </c>
      <c r="F5" s="81" t="s">
        <v>126</v>
      </c>
      <c r="H5" s="742" t="s">
        <v>124</v>
      </c>
      <c r="J5" s="858" t="e" vm="1">
        <f>[1]!Table1[[#This Row],[Supplier]]</f>
        <v>#REF!</v>
      </c>
      <c r="L5" s="81" t="s">
        <v>878</v>
      </c>
      <c r="N5" s="81" t="s">
        <v>879</v>
      </c>
    </row>
    <row r="6" spans="3:14">
      <c r="C6" s="79">
        <v>45768</v>
      </c>
      <c r="D6" s="73" t="s">
        <v>880</v>
      </c>
      <c r="F6" s="81" t="s">
        <v>881</v>
      </c>
      <c r="J6" s="858" t="e" vm="1">
        <f>[1]!Table1[[#This Row],[Supplier]]</f>
        <v>#REF!</v>
      </c>
      <c r="L6" s="81" t="s">
        <v>882</v>
      </c>
      <c r="N6" s="81" t="s">
        <v>883</v>
      </c>
    </row>
    <row r="7" spans="3:14">
      <c r="C7" s="79">
        <v>45774</v>
      </c>
      <c r="D7" s="73" t="s">
        <v>884</v>
      </c>
      <c r="F7" s="81" t="s">
        <v>885</v>
      </c>
      <c r="J7" s="858" t="e" vm="1">
        <f>[1]!Table1[[#This Row],[Supplier]]</f>
        <v>#REF!</v>
      </c>
      <c r="L7" s="81" t="s">
        <v>886</v>
      </c>
      <c r="N7" s="81" t="s">
        <v>887</v>
      </c>
    </row>
    <row r="8" spans="3:14">
      <c r="C8" s="79">
        <v>45765</v>
      </c>
      <c r="D8" s="73" t="s">
        <v>888</v>
      </c>
      <c r="F8" s="81" t="s">
        <v>889</v>
      </c>
      <c r="J8" s="858" t="e" vm="1">
        <f>[1]!Table1[[#This Row],[Supplier]]</f>
        <v>#REF!</v>
      </c>
      <c r="L8" s="81" t="s">
        <v>54</v>
      </c>
      <c r="N8" s="81" t="s">
        <v>890</v>
      </c>
    </row>
    <row r="9" spans="3:14" ht="13" thickBot="1">
      <c r="C9" s="79">
        <v>45778</v>
      </c>
      <c r="D9" s="73" t="s">
        <v>891</v>
      </c>
      <c r="F9" s="82"/>
      <c r="J9" s="858" t="e" vm="1">
        <f>[1]!Table1[[#This Row],[Supplier]]</f>
        <v>#REF!</v>
      </c>
      <c r="L9" s="81" t="s">
        <v>892</v>
      </c>
      <c r="N9" s="81" t="s">
        <v>335</v>
      </c>
    </row>
    <row r="10" spans="3:14">
      <c r="C10" s="79">
        <v>45824</v>
      </c>
      <c r="D10" s="73" t="s">
        <v>893</v>
      </c>
      <c r="J10" s="858" t="e" vm="1">
        <f>[1]!Table1[[#This Row],[Supplier]]</f>
        <v>#REF!</v>
      </c>
      <c r="L10" s="81" t="s">
        <v>894</v>
      </c>
      <c r="N10" s="81" t="s">
        <v>895</v>
      </c>
    </row>
    <row r="11" spans="3:14">
      <c r="C11" s="79">
        <v>45878</v>
      </c>
      <c r="D11" s="73" t="s">
        <v>896</v>
      </c>
      <c r="J11" s="858" t="e" vm="1">
        <f>[1]!Table1[[#This Row],[Supplier]]</f>
        <v>#REF!</v>
      </c>
      <c r="L11" s="81" t="s">
        <v>897</v>
      </c>
      <c r="N11" s="81" t="s">
        <v>898</v>
      </c>
    </row>
    <row r="12" spans="3:14" ht="13" thickBot="1">
      <c r="C12" s="79">
        <v>45924</v>
      </c>
      <c r="D12" s="73" t="s">
        <v>899</v>
      </c>
      <c r="J12" s="858" t="e" vm="1">
        <f>[1]!Table1[[#This Row],[Supplier]]</f>
        <v>#REF!</v>
      </c>
      <c r="L12" s="82" t="s">
        <v>900</v>
      </c>
      <c r="N12" s="82"/>
    </row>
    <row r="13" spans="3:14">
      <c r="C13" s="79">
        <v>46006</v>
      </c>
      <c r="D13" s="73" t="s">
        <v>901</v>
      </c>
      <c r="J13" s="858" t="e" vm="1">
        <f>[1]!Table1[[#This Row],[Supplier]]</f>
        <v>#REF!</v>
      </c>
    </row>
    <row r="14" spans="3:14">
      <c r="C14" s="79">
        <v>46007</v>
      </c>
      <c r="D14" s="73" t="s">
        <v>901</v>
      </c>
      <c r="J14" s="858" t="e" vm="1">
        <f>[1]!Table1[[#This Row],[Supplier]]</f>
        <v>#REF!</v>
      </c>
    </row>
    <row r="15" spans="3:14">
      <c r="C15" s="79">
        <v>46008</v>
      </c>
      <c r="D15" s="73" t="s">
        <v>901</v>
      </c>
      <c r="J15" s="858" t="e" vm="1">
        <f>[1]!Table1[[#This Row],[Supplier]]</f>
        <v>#REF!</v>
      </c>
    </row>
    <row r="16" spans="3:14">
      <c r="C16" s="79">
        <v>46009</v>
      </c>
      <c r="D16" s="73" t="s">
        <v>901</v>
      </c>
      <c r="J16" s="858" t="e" vm="1">
        <f>[1]!Table1[[#This Row],[Supplier]]</f>
        <v>#REF!</v>
      </c>
    </row>
    <row r="17" spans="3:10">
      <c r="C17" s="79">
        <v>46010</v>
      </c>
      <c r="D17" s="73" t="s">
        <v>901</v>
      </c>
      <c r="J17" s="858" t="e" vm="1">
        <f>[1]!Table1[[#This Row],[Supplier]]</f>
        <v>#REF!</v>
      </c>
    </row>
    <row r="18" spans="3:10">
      <c r="C18" s="79">
        <v>46011</v>
      </c>
      <c r="D18" s="73" t="s">
        <v>901</v>
      </c>
      <c r="J18" s="858" t="e" vm="1">
        <f>[1]!Table1[[#This Row],[Supplier]]</f>
        <v>#REF!</v>
      </c>
    </row>
    <row r="19" spans="3:10">
      <c r="C19" s="79">
        <v>46012</v>
      </c>
      <c r="D19" s="73" t="s">
        <v>901</v>
      </c>
      <c r="J19" s="858" t="e" vm="1">
        <f>[1]!Table1[[#This Row],[Supplier]]</f>
        <v>#REF!</v>
      </c>
    </row>
    <row r="20" spans="3:10">
      <c r="C20" s="79">
        <v>46013</v>
      </c>
      <c r="D20" s="73" t="s">
        <v>901</v>
      </c>
      <c r="J20" s="858" t="e" vm="1">
        <f>[1]!Table1[[#This Row],[Supplier]]</f>
        <v>#REF!</v>
      </c>
    </row>
    <row r="21" spans="3:10">
      <c r="C21" s="79">
        <v>46014</v>
      </c>
      <c r="D21" s="73" t="s">
        <v>901</v>
      </c>
      <c r="J21" s="858" t="e" vm="1">
        <f>[1]!Table1[[#This Row],[Supplier]]</f>
        <v>#REF!</v>
      </c>
    </row>
    <row r="22" spans="3:10">
      <c r="C22" s="79">
        <v>46015</v>
      </c>
      <c r="D22" s="73" t="s">
        <v>901</v>
      </c>
      <c r="J22" s="858" t="e" vm="1">
        <f>[1]!Table1[[#This Row],[Supplier]]</f>
        <v>#REF!</v>
      </c>
    </row>
    <row r="23" spans="3:10">
      <c r="C23" s="79">
        <v>46016</v>
      </c>
      <c r="D23" s="73" t="s">
        <v>901</v>
      </c>
      <c r="J23" s="858" t="e" vm="1">
        <f>[1]!Table1[[#This Row],[Supplier]]</f>
        <v>#REF!</v>
      </c>
    </row>
    <row r="24" spans="3:10">
      <c r="C24" s="79">
        <v>46017</v>
      </c>
      <c r="D24" s="73" t="s">
        <v>901</v>
      </c>
      <c r="J24" s="858" t="e" vm="1">
        <f>[1]!Table1[[#This Row],[Supplier]]</f>
        <v>#REF!</v>
      </c>
    </row>
    <row r="25" spans="3:10">
      <c r="C25" s="79">
        <v>46018</v>
      </c>
      <c r="D25" s="73" t="s">
        <v>901</v>
      </c>
      <c r="J25" s="858" t="e" vm="1">
        <f>[1]!Table1[[#This Row],[Supplier]]</f>
        <v>#REF!</v>
      </c>
    </row>
    <row r="26" spans="3:10">
      <c r="C26" s="79">
        <v>46019</v>
      </c>
      <c r="D26" s="73" t="s">
        <v>901</v>
      </c>
      <c r="J26" s="858" t="e" vm="1">
        <f>[1]!Table1[[#This Row],[Supplier]]</f>
        <v>#REF!</v>
      </c>
    </row>
    <row r="27" spans="3:10">
      <c r="C27" s="79">
        <v>46020</v>
      </c>
      <c r="D27" s="73" t="s">
        <v>901</v>
      </c>
      <c r="J27" s="858" t="e" vm="1">
        <f>[1]!Table1[[#This Row],[Supplier]]</f>
        <v>#REF!</v>
      </c>
    </row>
    <row r="28" spans="3:10">
      <c r="C28" s="79">
        <v>46021</v>
      </c>
      <c r="D28" s="73" t="s">
        <v>901</v>
      </c>
      <c r="J28" s="858" t="e" vm="1">
        <f>[1]!Table1[[#This Row],[Supplier]]</f>
        <v>#REF!</v>
      </c>
    </row>
    <row r="29" spans="3:10">
      <c r="C29" s="79">
        <v>46022</v>
      </c>
      <c r="D29" s="73" t="s">
        <v>901</v>
      </c>
      <c r="J29" s="858" t="e" vm="1">
        <f>[1]!Table1[[#This Row],[Supplier]]</f>
        <v>#REF!</v>
      </c>
    </row>
    <row r="30" spans="3:10">
      <c r="C30" s="79">
        <v>46023</v>
      </c>
      <c r="D30" s="73" t="s">
        <v>901</v>
      </c>
      <c r="J30" s="858" t="e" vm="1">
        <f>[1]!Table1[[#This Row],[Supplier]]</f>
        <v>#REF!</v>
      </c>
    </row>
    <row r="31" spans="3:10">
      <c r="C31" s="79">
        <v>46024</v>
      </c>
      <c r="D31" s="73" t="s">
        <v>901</v>
      </c>
      <c r="J31" s="858" t="e" vm="1">
        <f>[1]!Table1[[#This Row],[Supplier]]</f>
        <v>#REF!</v>
      </c>
    </row>
    <row r="32" spans="3:10">
      <c r="C32" s="79">
        <v>46025</v>
      </c>
      <c r="D32" s="73" t="s">
        <v>901</v>
      </c>
      <c r="J32" s="858" t="e" vm="1">
        <f>[1]!Table1[[#This Row],[Supplier]]</f>
        <v>#REF!</v>
      </c>
    </row>
    <row r="33" spans="3:10">
      <c r="C33" s="79">
        <v>46026</v>
      </c>
      <c r="D33" s="73" t="s">
        <v>901</v>
      </c>
      <c r="J33" s="858" t="e" vm="1">
        <f>[1]!Table1[[#This Row],[Supplier]]</f>
        <v>#REF!</v>
      </c>
    </row>
    <row r="34" spans="3:10">
      <c r="C34" s="79">
        <v>46027</v>
      </c>
      <c r="D34" s="73" t="s">
        <v>901</v>
      </c>
      <c r="J34" s="858" t="e" vm="1">
        <f>[1]!Table1[[#This Row],[Supplier]]</f>
        <v>#REF!</v>
      </c>
    </row>
    <row r="35" spans="3:10">
      <c r="C35" s="79">
        <v>46028</v>
      </c>
      <c r="D35" s="73" t="s">
        <v>901</v>
      </c>
      <c r="J35" s="858" t="e" vm="1">
        <f>[1]!Table1[[#This Row],[Supplier]]</f>
        <v>#REF!</v>
      </c>
    </row>
    <row r="36" spans="3:10">
      <c r="C36" s="79">
        <v>46029</v>
      </c>
      <c r="D36" s="73" t="s">
        <v>901</v>
      </c>
      <c r="J36" s="858" t="e" vm="1">
        <f>[1]!Table1[[#This Row],[Supplier]]</f>
        <v>#REF!</v>
      </c>
    </row>
    <row r="37" spans="3:10">
      <c r="C37" s="79">
        <v>46030</v>
      </c>
      <c r="D37" s="73" t="s">
        <v>901</v>
      </c>
      <c r="J37" s="858" t="e" vm="1">
        <f>[1]!Table1[[#This Row],[Supplier]]</f>
        <v>#REF!</v>
      </c>
    </row>
    <row r="38" spans="3:10">
      <c r="C38" s="79">
        <v>46031</v>
      </c>
      <c r="D38" s="73" t="s">
        <v>901</v>
      </c>
      <c r="J38" s="858" t="e" vm="1">
        <f>[1]!Table1[[#This Row],[Supplier]]</f>
        <v>#REF!</v>
      </c>
    </row>
    <row r="39" spans="3:10">
      <c r="C39" s="79">
        <v>46032</v>
      </c>
      <c r="D39" s="73" t="s">
        <v>901</v>
      </c>
      <c r="J39" s="858" t="e" vm="1">
        <f>[1]!Table1[[#This Row],[Supplier]]</f>
        <v>#REF!</v>
      </c>
    </row>
    <row r="40" spans="3:10">
      <c r="C40" s="79">
        <v>46033</v>
      </c>
      <c r="D40" s="73" t="s">
        <v>901</v>
      </c>
      <c r="J40" s="858" t="e" vm="1">
        <f>[1]!Table1[[#This Row],[Supplier]]</f>
        <v>#REF!</v>
      </c>
    </row>
    <row r="41" spans="3:10">
      <c r="C41" s="79">
        <v>46034</v>
      </c>
      <c r="D41" s="73" t="s">
        <v>901</v>
      </c>
      <c r="J41" s="858" t="e" vm="1">
        <f>[1]!Table1[[#This Row],[Supplier]]</f>
        <v>#REF!</v>
      </c>
    </row>
    <row r="42" spans="3:10">
      <c r="C42" s="79">
        <v>46035</v>
      </c>
      <c r="D42" s="73" t="s">
        <v>901</v>
      </c>
      <c r="J42" s="858" t="e" vm="1">
        <f>[1]!Table1[[#This Row],[Supplier]]</f>
        <v>#REF!</v>
      </c>
    </row>
    <row r="43" spans="3:10">
      <c r="C43" s="79">
        <v>46036</v>
      </c>
      <c r="D43" s="73" t="s">
        <v>901</v>
      </c>
      <c r="J43" s="858" t="e" vm="1">
        <f>[1]!Table1[[#This Row],[Supplier]]</f>
        <v>#REF!</v>
      </c>
    </row>
    <row r="44" spans="3:10">
      <c r="C44" s="79">
        <v>46037</v>
      </c>
      <c r="D44" s="73" t="s">
        <v>901</v>
      </c>
      <c r="J44" s="858" t="e" vm="1">
        <f>[1]!Table1[[#This Row],[Supplier]]</f>
        <v>#REF!</v>
      </c>
    </row>
    <row r="45" spans="3:10">
      <c r="C45" s="79">
        <v>46038</v>
      </c>
      <c r="D45" s="73" t="s">
        <v>901</v>
      </c>
      <c r="J45" s="858" t="e" vm="1">
        <f>[1]!Table1[[#This Row],[Supplier]]</f>
        <v>#REF!</v>
      </c>
    </row>
    <row r="46" spans="3:10">
      <c r="C46" s="79">
        <v>46102</v>
      </c>
      <c r="D46" s="73" t="s">
        <v>875</v>
      </c>
      <c r="J46" s="858" t="e" vm="1">
        <f>[1]!Table1[[#This Row],[Supplier]]</f>
        <v>#REF!</v>
      </c>
    </row>
    <row r="47" spans="3:10">
      <c r="C47" s="79">
        <v>46115</v>
      </c>
      <c r="D47" s="73" t="s">
        <v>877</v>
      </c>
      <c r="J47" s="858" t="e" vm="1">
        <f>[1]!Table1[[#This Row],[Supplier]]</f>
        <v>#REF!</v>
      </c>
    </row>
    <row r="48" spans="3:10">
      <c r="C48" s="79">
        <v>46118</v>
      </c>
      <c r="D48" s="73" t="s">
        <v>880</v>
      </c>
      <c r="J48" s="858" t="e" vm="1">
        <f>[1]!Table1[[#This Row],[Supplier]]</f>
        <v>#REF!</v>
      </c>
    </row>
    <row r="49" spans="3:10">
      <c r="C49" s="79">
        <v>46139</v>
      </c>
      <c r="D49" s="73" t="s">
        <v>884</v>
      </c>
      <c r="J49" s="858" t="e" vm="1">
        <f>[1]!Table1[[#This Row],[Supplier]]</f>
        <v>#REF!</v>
      </c>
    </row>
    <row r="50" spans="3:10">
      <c r="C50" s="79">
        <v>46143</v>
      </c>
      <c r="D50" s="73" t="s">
        <v>891</v>
      </c>
      <c r="J50" s="858" t="e" vm="1">
        <f>[1]!Table1[[#This Row],[Supplier]]</f>
        <v>#REF!</v>
      </c>
    </row>
    <row r="51" spans="3:10">
      <c r="C51" s="79">
        <v>46189</v>
      </c>
      <c r="D51" s="73" t="s">
        <v>893</v>
      </c>
      <c r="J51" s="858" t="e" vm="1">
        <f>[1]!Table1[[#This Row],[Supplier]]</f>
        <v>#REF!</v>
      </c>
    </row>
    <row r="52" spans="3:10">
      <c r="C52" s="79">
        <v>46243</v>
      </c>
      <c r="D52" s="73" t="s">
        <v>896</v>
      </c>
      <c r="J52" s="858" t="e" vm="1">
        <f>[1]!Table1[[#This Row],[Supplier]]</f>
        <v>#REF!</v>
      </c>
    </row>
    <row r="53" spans="3:10">
      <c r="C53" s="79">
        <v>46244</v>
      </c>
      <c r="D53" s="73" t="s">
        <v>902</v>
      </c>
      <c r="J53" s="858" t="e" vm="1">
        <f>[1]!Table1[[#This Row],[Supplier]]</f>
        <v>#REF!</v>
      </c>
    </row>
    <row r="54" spans="3:10">
      <c r="C54" s="79">
        <v>46289</v>
      </c>
      <c r="D54" s="73" t="s">
        <v>899</v>
      </c>
      <c r="J54" s="858" t="e" vm="1">
        <f>[1]!Table1[[#This Row],[Supplier]]</f>
        <v>#REF!</v>
      </c>
    </row>
    <row r="55" spans="3:10">
      <c r="C55" s="79">
        <v>46372</v>
      </c>
      <c r="D55" s="73" t="s">
        <v>903</v>
      </c>
      <c r="J55" s="858" t="e" vm="1">
        <f>[1]!Table1[[#This Row],[Supplier]]</f>
        <v>#REF!</v>
      </c>
    </row>
    <row r="56" spans="3:10">
      <c r="C56" s="79">
        <v>46381</v>
      </c>
      <c r="D56" s="73" t="s">
        <v>904</v>
      </c>
      <c r="J56" s="858" t="e" vm="1">
        <f>[1]!Table1[[#This Row],[Supplier]]</f>
        <v>#REF!</v>
      </c>
    </row>
    <row r="57" spans="3:10" ht="13" thickBot="1">
      <c r="C57" s="80">
        <v>46382</v>
      </c>
      <c r="D57" s="73" t="s">
        <v>905</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906</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81"/>
      <c r="C4" s="981"/>
      <c r="D4" s="981"/>
      <c r="E4" s="407"/>
      <c r="F4" s="212" t="s">
        <v>829</v>
      </c>
      <c r="G4" s="207"/>
      <c r="H4" s="212" t="s">
        <v>907</v>
      </c>
      <c r="I4" s="207"/>
      <c r="J4" s="212" t="s">
        <v>830</v>
      </c>
      <c r="K4" s="207"/>
      <c r="L4" s="213" t="s">
        <v>908</v>
      </c>
      <c r="M4" s="111"/>
      <c r="N4" s="213" t="s">
        <v>909</v>
      </c>
      <c r="O4" s="111"/>
      <c r="P4" s="111"/>
    </row>
    <row r="5" spans="1:16" ht="14.5" thickBot="1">
      <c r="A5" s="207"/>
      <c r="B5" s="982" t="s">
        <v>910</v>
      </c>
      <c r="C5" s="982"/>
      <c r="D5" s="982"/>
      <c r="E5" s="407"/>
      <c r="F5" s="214">
        <f>SUM(F9:F23)</f>
        <v>136620512.96264103</v>
      </c>
      <c r="G5" s="209"/>
      <c r="H5" s="214">
        <f>SUM(H9:H23)</f>
        <v>143590782.60257795</v>
      </c>
      <c r="I5" s="209"/>
      <c r="J5" s="214">
        <f>SUM(J9:J23)</f>
        <v>143590782.60257795</v>
      </c>
      <c r="K5" s="207"/>
      <c r="L5" s="215">
        <f>SUM(L9:L23)</f>
        <v>-6970269.6399369109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911</v>
      </c>
      <c r="E7" s="218"/>
      <c r="F7" s="219" t="s">
        <v>912</v>
      </c>
      <c r="G7" s="220"/>
      <c r="H7" s="219" t="s">
        <v>913</v>
      </c>
      <c r="I7" s="220"/>
      <c r="J7" s="219" t="s">
        <v>914</v>
      </c>
      <c r="K7" s="220" t="s">
        <v>915</v>
      </c>
      <c r="L7" s="219" t="s">
        <v>916</v>
      </c>
      <c r="M7" s="163"/>
      <c r="N7" s="219" t="s">
        <v>916</v>
      </c>
      <c r="O7" s="163"/>
      <c r="P7" s="114" t="s">
        <v>917</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17486209.189595003</v>
      </c>
      <c r="I16" s="85"/>
      <c r="J16" s="223">
        <f>'Expenditure Breakdown'!X147</f>
        <v>17486209.189595003</v>
      </c>
      <c r="K16" s="88">
        <f t="shared" si="0"/>
        <v>1.2952747547848149</v>
      </c>
      <c r="L16" s="224">
        <f t="shared" si="1"/>
        <v>-3099274.1895950027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2603452.6000000006</v>
      </c>
      <c r="I19" s="85"/>
      <c r="J19" s="223">
        <f>'Expenditure Breakdown'!X267</f>
        <v>2603452.6000000006</v>
      </c>
      <c r="K19" s="88">
        <f t="shared" si="0"/>
        <v>0.19284834074074078</v>
      </c>
      <c r="L19" s="224">
        <f t="shared" si="1"/>
        <v>-873452.60000000056</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918</v>
      </c>
      <c r="E25" s="85"/>
      <c r="F25" s="227">
        <f>'Expenditure Breakdown'!I2-'Expenditure Tracking'!F5</f>
        <v>0</v>
      </c>
      <c r="G25" s="227" t="e">
        <f>#REF!-G5</f>
        <v>#REF!</v>
      </c>
      <c r="H25" s="227">
        <f>'Expenditure Breakdown'!X2-H5</f>
        <v>0</v>
      </c>
      <c r="I25" s="227" t="e">
        <f>#REF!-I5</f>
        <v>#REF!</v>
      </c>
      <c r="J25" s="227">
        <f>'Expenditure Breakdown'!X2-J5</f>
        <v>0</v>
      </c>
      <c r="K25" s="88">
        <f>SUM(K9:K23)</f>
        <v>10.636354266857627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abSelected="1" topLeftCell="L1" zoomScale="85" zoomScaleNormal="85" workbookViewId="0">
      <pane ySplit="4" topLeftCell="A281" activePane="bottomLeft" state="frozen"/>
      <selection activeCell="X33" sqref="X33"/>
      <selection pane="bottomLeft" activeCell="S302" sqref="S302"/>
    </sheetView>
  </sheetViews>
  <sheetFormatPr defaultColWidth="9.453125" defaultRowHeight="14"/>
  <cols>
    <col min="1" max="1" width="2.453125" style="111" customWidth="1"/>
    <col min="2" max="2" width="6.453125" style="24" customWidth="1"/>
    <col min="3" max="3" width="34.453125" style="24" customWidth="1"/>
    <col min="4" max="4" width="53.7265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25" t="s">
        <v>919</v>
      </c>
      <c r="C2" s="926"/>
      <c r="D2" s="926"/>
      <c r="E2" s="926"/>
      <c r="F2" s="926"/>
      <c r="G2" s="926"/>
      <c r="H2" s="531"/>
      <c r="I2" s="248">
        <f>SUM(I6:I396)</f>
        <v>136620512.96264103</v>
      </c>
      <c r="J2" s="248">
        <f>SUM(J6:J396)</f>
        <v>144482290.75276861</v>
      </c>
      <c r="L2" s="927" t="s">
        <v>920</v>
      </c>
      <c r="M2" s="928"/>
      <c r="N2" s="928"/>
      <c r="O2" s="928"/>
      <c r="P2" s="928"/>
      <c r="Q2" s="928"/>
      <c r="R2" s="929" t="s">
        <v>921</v>
      </c>
      <c r="S2" s="930"/>
      <c r="T2" s="930"/>
      <c r="U2" s="930"/>
      <c r="V2" s="930"/>
      <c r="W2" s="931"/>
      <c r="X2" s="492">
        <f>SUM(X6:X396)</f>
        <v>143590782.60257795</v>
      </c>
      <c r="Y2" s="490"/>
      <c r="Z2" s="498" t="s">
        <v>908</v>
      </c>
    </row>
    <row r="3" spans="1:76" s="111" customFormat="1" ht="13.5" customHeight="1" thickBot="1">
      <c r="E3" s="156"/>
      <c r="F3" s="457"/>
      <c r="I3" s="246"/>
      <c r="J3" s="360"/>
      <c r="O3" s="156"/>
      <c r="P3" s="457"/>
      <c r="Q3" s="247"/>
      <c r="R3" s="246"/>
      <c r="X3" s="493"/>
      <c r="Y3" s="490"/>
      <c r="Z3" s="499">
        <f>SUM(Z6:Z395)</f>
        <v>-6970269.6399369109</v>
      </c>
    </row>
    <row r="4" spans="1:76" s="70" customFormat="1" ht="42.5" thickBot="1">
      <c r="A4" s="156"/>
      <c r="B4" s="249" t="s">
        <v>922</v>
      </c>
      <c r="C4" s="250" t="s">
        <v>923</v>
      </c>
      <c r="D4" s="250" t="s">
        <v>924</v>
      </c>
      <c r="E4" s="250" t="s">
        <v>285</v>
      </c>
      <c r="F4" s="458" t="s">
        <v>925</v>
      </c>
      <c r="G4" s="251" t="s">
        <v>926</v>
      </c>
      <c r="H4" s="690" t="s">
        <v>927</v>
      </c>
      <c r="I4" s="252" t="s">
        <v>928</v>
      </c>
      <c r="J4" s="252" t="str">
        <f>IF(J2-'Revenue Tracking'!D4&gt;=0, "Total Revenue", "ERROR on REV" )</f>
        <v>ERROR on REV</v>
      </c>
      <c r="K4" s="156"/>
      <c r="L4" s="249" t="s">
        <v>922</v>
      </c>
      <c r="M4" s="250" t="s">
        <v>929</v>
      </c>
      <c r="N4" s="250" t="s">
        <v>924</v>
      </c>
      <c r="O4" s="250" t="s">
        <v>285</v>
      </c>
      <c r="P4" s="458" t="s">
        <v>925</v>
      </c>
      <c r="Q4" s="364" t="s">
        <v>930</v>
      </c>
      <c r="R4" s="518" t="s">
        <v>931</v>
      </c>
      <c r="S4" s="518" t="s">
        <v>843</v>
      </c>
      <c r="T4" s="362" t="s">
        <v>844</v>
      </c>
      <c r="U4" s="363" t="s">
        <v>932</v>
      </c>
      <c r="V4" s="364" t="s">
        <v>933</v>
      </c>
      <c r="W4" s="362" t="s">
        <v>934</v>
      </c>
      <c r="X4" s="494" t="s">
        <v>928</v>
      </c>
      <c r="Y4" s="504"/>
      <c r="Z4" s="498" t="s">
        <v>916</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935</v>
      </c>
      <c r="D6" s="272" t="s">
        <v>936</v>
      </c>
      <c r="E6" s="273"/>
      <c r="F6" s="430"/>
      <c r="G6" s="383">
        <v>31765076.460000001</v>
      </c>
      <c r="H6" s="692">
        <v>45929</v>
      </c>
      <c r="I6" s="878">
        <f>SUM(G6:G19)</f>
        <v>32575876.460000001</v>
      </c>
      <c r="J6" s="878">
        <v>34471826.941798903</v>
      </c>
      <c r="K6" s="380"/>
      <c r="L6" s="271">
        <v>1</v>
      </c>
      <c r="M6" s="410" t="s">
        <v>937</v>
      </c>
      <c r="N6" s="272" t="s">
        <v>938</v>
      </c>
      <c r="O6" s="994"/>
      <c r="P6" s="430">
        <f>2.28*620</f>
        <v>1413.6</v>
      </c>
      <c r="Q6" s="383">
        <f>P6*SUM(O7:O9)*10%</f>
        <v>2365235.52</v>
      </c>
      <c r="R6" s="873"/>
      <c r="S6" s="644" t="s">
        <v>939</v>
      </c>
      <c r="T6" s="532">
        <v>46142</v>
      </c>
      <c r="U6" s="533">
        <f t="shared" ref="U6:U19" si="0">(Q6/$X$6*$J$6)</f>
        <v>2431480.8719151765</v>
      </c>
      <c r="V6" s="893">
        <f>J6-SUM(U6:U19)</f>
        <v>0</v>
      </c>
      <c r="W6" s="874">
        <v>46070</v>
      </c>
      <c r="X6" s="887">
        <f>SUM(Q6:Q19)</f>
        <v>33532646.899999999</v>
      </c>
      <c r="Y6" s="506"/>
      <c r="Z6" s="878">
        <f>I6-X6</f>
        <v>-956770.43999999762</v>
      </c>
      <c r="AB6" s="772" t="s">
        <v>940</v>
      </c>
      <c r="AC6" s="773">
        <v>16.206600000000002</v>
      </c>
      <c r="AE6" s="111" t="s">
        <v>941</v>
      </c>
    </row>
    <row r="7" spans="1:76" ht="15" customHeight="1">
      <c r="B7" s="301">
        <v>1</v>
      </c>
      <c r="C7" s="411"/>
      <c r="D7" s="381" t="s">
        <v>942</v>
      </c>
      <c r="E7" s="382"/>
      <c r="F7" s="452"/>
      <c r="G7" s="305">
        <v>810800</v>
      </c>
      <c r="H7" s="693">
        <v>46064</v>
      </c>
      <c r="I7" s="879"/>
      <c r="J7" s="879"/>
      <c r="K7" s="278"/>
      <c r="L7" s="301">
        <v>1</v>
      </c>
      <c r="M7" s="303" t="s">
        <v>937</v>
      </c>
      <c r="N7" s="381" t="s">
        <v>943</v>
      </c>
      <c r="O7" s="804">
        <f>16732/3</f>
        <v>5577.333333333333</v>
      </c>
      <c r="P7" s="437"/>
      <c r="Q7" s="305">
        <f>O7*$P$6*90%</f>
        <v>7095706.5599999996</v>
      </c>
      <c r="R7" s="1004"/>
      <c r="S7" s="645" t="s">
        <v>939</v>
      </c>
      <c r="T7" s="550">
        <v>46142</v>
      </c>
      <c r="U7" s="534">
        <f t="shared" si="0"/>
        <v>7294442.6157455295</v>
      </c>
      <c r="V7" s="894"/>
      <c r="W7" s="607">
        <v>46203</v>
      </c>
      <c r="X7" s="888"/>
      <c r="Y7" s="507"/>
      <c r="Z7" s="87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879"/>
      <c r="J8" s="879"/>
      <c r="K8" s="278"/>
      <c r="L8" s="301">
        <v>1</v>
      </c>
      <c r="M8" s="303" t="s">
        <v>937</v>
      </c>
      <c r="N8" s="381" t="s">
        <v>944</v>
      </c>
      <c r="O8" s="804">
        <f t="shared" ref="O8:O9" si="1">16732/3</f>
        <v>5577.333333333333</v>
      </c>
      <c r="P8" s="437"/>
      <c r="Q8" s="305">
        <f t="shared" ref="Q8:Q9" si="2">O8*$P$6*90%</f>
        <v>7095706.5599999996</v>
      </c>
      <c r="R8" s="1004"/>
      <c r="S8" s="645" t="s">
        <v>939</v>
      </c>
      <c r="T8" s="550">
        <v>46142</v>
      </c>
      <c r="U8" s="534">
        <f t="shared" si="0"/>
        <v>7294442.6157455295</v>
      </c>
      <c r="V8" s="894"/>
      <c r="W8" s="607">
        <f>W7</f>
        <v>46203</v>
      </c>
      <c r="X8" s="888"/>
      <c r="Y8" s="507"/>
      <c r="Z8" s="879"/>
      <c r="AD8" s="809"/>
    </row>
    <row r="9" spans="1:76" ht="15" customHeight="1">
      <c r="B9" s="375">
        <v>1</v>
      </c>
      <c r="C9" s="500"/>
      <c r="D9" s="501"/>
      <c r="E9" s="502"/>
      <c r="F9" s="437"/>
      <c r="G9" s="378"/>
      <c r="H9" s="694"/>
      <c r="I9" s="879"/>
      <c r="J9" s="879"/>
      <c r="K9" s="278"/>
      <c r="L9" s="301">
        <v>1</v>
      </c>
      <c r="M9" s="303" t="s">
        <v>937</v>
      </c>
      <c r="N9" s="381" t="s">
        <v>945</v>
      </c>
      <c r="O9" s="804">
        <f t="shared" si="1"/>
        <v>5577.333333333333</v>
      </c>
      <c r="P9" s="764"/>
      <c r="Q9" s="305">
        <f t="shared" si="2"/>
        <v>7095706.5599999996</v>
      </c>
      <c r="R9" s="1005"/>
      <c r="S9" s="646" t="s">
        <v>939</v>
      </c>
      <c r="T9" s="551">
        <v>46142</v>
      </c>
      <c r="U9" s="535">
        <f t="shared" si="0"/>
        <v>7294442.6157455295</v>
      </c>
      <c r="V9" s="894"/>
      <c r="W9" s="607">
        <f>W7</f>
        <v>46203</v>
      </c>
      <c r="X9" s="888"/>
      <c r="Y9" s="507"/>
      <c r="Z9" s="879"/>
    </row>
    <row r="10" spans="1:76" ht="15" customHeight="1">
      <c r="B10" s="375">
        <v>1</v>
      </c>
      <c r="C10" s="500"/>
      <c r="D10" s="501"/>
      <c r="E10" s="502"/>
      <c r="F10" s="437"/>
      <c r="G10" s="378"/>
      <c r="H10" s="694"/>
      <c r="I10" s="879"/>
      <c r="J10" s="879"/>
      <c r="K10" s="278"/>
      <c r="L10" s="301">
        <v>1</v>
      </c>
      <c r="M10" s="303" t="s">
        <v>937</v>
      </c>
      <c r="N10" s="381"/>
      <c r="O10" s="995"/>
      <c r="P10" s="437"/>
      <c r="Q10" s="378"/>
      <c r="R10" s="1005"/>
      <c r="S10" s="646"/>
      <c r="T10" s="551"/>
      <c r="U10" s="535">
        <f t="shared" si="0"/>
        <v>0</v>
      </c>
      <c r="V10" s="894"/>
      <c r="W10" s="608"/>
      <c r="X10" s="888"/>
      <c r="Y10" s="507"/>
      <c r="Z10" s="879"/>
    </row>
    <row r="11" spans="1:76" ht="15" customHeight="1">
      <c r="B11" s="375">
        <v>1</v>
      </c>
      <c r="C11" s="500"/>
      <c r="D11" s="501"/>
      <c r="E11" s="502"/>
      <c r="F11" s="437"/>
      <c r="G11" s="378"/>
      <c r="H11" s="694"/>
      <c r="I11" s="879"/>
      <c r="J11" s="879"/>
      <c r="K11" s="278"/>
      <c r="L11" s="301">
        <v>1</v>
      </c>
      <c r="M11" s="303" t="s">
        <v>937</v>
      </c>
      <c r="N11" s="381" t="s">
        <v>946</v>
      </c>
      <c r="O11" s="995">
        <v>4970</v>
      </c>
      <c r="P11" s="437">
        <f>2.87*635</f>
        <v>1822.45</v>
      </c>
      <c r="Q11" s="305">
        <f>O11*P11*10%</f>
        <v>905757.65</v>
      </c>
      <c r="R11" s="1005"/>
      <c r="S11" s="646" t="s">
        <v>939</v>
      </c>
      <c r="T11" s="551">
        <v>46142</v>
      </c>
      <c r="U11" s="535">
        <f t="shared" si="0"/>
        <v>931126.04725547216</v>
      </c>
      <c r="V11" s="894"/>
      <c r="W11" s="567">
        <f>W6</f>
        <v>46070</v>
      </c>
      <c r="X11" s="888"/>
      <c r="Y11" s="507"/>
      <c r="Z11" s="879"/>
    </row>
    <row r="12" spans="1:76" ht="15" customHeight="1">
      <c r="B12" s="375">
        <v>1</v>
      </c>
      <c r="C12" s="500"/>
      <c r="D12" s="501"/>
      <c r="E12" s="502"/>
      <c r="F12" s="437"/>
      <c r="G12" s="378"/>
      <c r="H12" s="694"/>
      <c r="I12" s="879"/>
      <c r="J12" s="879"/>
      <c r="K12" s="278"/>
      <c r="L12" s="301">
        <v>1</v>
      </c>
      <c r="M12" s="303" t="s">
        <v>937</v>
      </c>
      <c r="N12" s="381" t="s">
        <v>947</v>
      </c>
      <c r="O12" s="995"/>
      <c r="P12" s="437"/>
      <c r="Q12" s="305">
        <f>O11*P11*90%</f>
        <v>8151818.8500000006</v>
      </c>
      <c r="R12" s="1005"/>
      <c r="S12" s="646" t="s">
        <v>939</v>
      </c>
      <c r="T12" s="551">
        <v>46142</v>
      </c>
      <c r="U12" s="535">
        <f t="shared" si="0"/>
        <v>8380134.4252992505</v>
      </c>
      <c r="V12" s="894"/>
      <c r="W12" s="608">
        <f>W7</f>
        <v>46203</v>
      </c>
      <c r="X12" s="888"/>
      <c r="Y12" s="507"/>
      <c r="Z12" s="879"/>
    </row>
    <row r="13" spans="1:76" ht="15" customHeight="1">
      <c r="B13" s="375"/>
      <c r="C13" s="500"/>
      <c r="D13" s="501"/>
      <c r="E13" s="502"/>
      <c r="F13" s="437"/>
      <c r="G13" s="378"/>
      <c r="H13" s="694"/>
      <c r="I13" s="879"/>
      <c r="J13" s="879"/>
      <c r="K13" s="278"/>
      <c r="L13" s="301">
        <v>1</v>
      </c>
      <c r="M13" s="303" t="s">
        <v>937</v>
      </c>
      <c r="N13" s="501"/>
      <c r="O13" s="995"/>
      <c r="P13" s="437"/>
      <c r="Q13" s="378"/>
      <c r="R13" s="1005"/>
      <c r="S13" s="646"/>
      <c r="T13" s="551"/>
      <c r="U13" s="535">
        <f t="shared" si="0"/>
        <v>0</v>
      </c>
      <c r="V13" s="894"/>
      <c r="W13" s="608"/>
      <c r="X13" s="888"/>
      <c r="Y13" s="507"/>
      <c r="Z13" s="879"/>
    </row>
    <row r="14" spans="1:76" ht="15" customHeight="1">
      <c r="B14" s="375">
        <v>1</v>
      </c>
      <c r="C14" s="500"/>
      <c r="D14" s="501"/>
      <c r="E14" s="502"/>
      <c r="F14" s="437"/>
      <c r="G14" s="378"/>
      <c r="H14" s="694"/>
      <c r="I14" s="879"/>
      <c r="J14" s="879"/>
      <c r="K14" s="278"/>
      <c r="L14" s="301">
        <v>1</v>
      </c>
      <c r="M14" s="303" t="s">
        <v>937</v>
      </c>
      <c r="N14" s="501" t="s">
        <v>948</v>
      </c>
      <c r="O14" s="995">
        <v>312</v>
      </c>
      <c r="P14" s="437">
        <f>2.28*620</f>
        <v>1413.6</v>
      </c>
      <c r="Q14" s="305">
        <f>O14*P14*10%</f>
        <v>44104.32</v>
      </c>
      <c r="R14" s="1005"/>
      <c r="S14" s="646" t="s">
        <v>939</v>
      </c>
      <c r="T14" s="551">
        <v>46142</v>
      </c>
      <c r="U14" s="535">
        <f t="shared" si="0"/>
        <v>45339.590726603819</v>
      </c>
      <c r="V14" s="894"/>
      <c r="W14" s="567">
        <f>W6</f>
        <v>46070</v>
      </c>
      <c r="X14" s="888"/>
      <c r="Y14" s="507"/>
      <c r="Z14" s="879"/>
    </row>
    <row r="15" spans="1:76" ht="15" customHeight="1">
      <c r="B15" s="375">
        <v>1</v>
      </c>
      <c r="C15" s="500"/>
      <c r="D15" s="501"/>
      <c r="E15" s="502"/>
      <c r="F15" s="437"/>
      <c r="G15" s="378"/>
      <c r="H15" s="694"/>
      <c r="I15" s="879"/>
      <c r="J15" s="879"/>
      <c r="K15" s="278"/>
      <c r="L15" s="301">
        <v>1</v>
      </c>
      <c r="M15" s="303" t="s">
        <v>937</v>
      </c>
      <c r="N15" s="501" t="s">
        <v>949</v>
      </c>
      <c r="O15" s="995"/>
      <c r="P15" s="437"/>
      <c r="Q15" s="305">
        <f>O14*P14*90%</f>
        <v>396938.87999999995</v>
      </c>
      <c r="R15" s="1005"/>
      <c r="S15" s="646" t="s">
        <v>939</v>
      </c>
      <c r="T15" s="551">
        <v>46142</v>
      </c>
      <c r="U15" s="535">
        <f t="shared" si="0"/>
        <v>408056.31653943431</v>
      </c>
      <c r="V15" s="894"/>
      <c r="W15" s="608">
        <f>W7</f>
        <v>46203</v>
      </c>
      <c r="X15" s="888"/>
      <c r="Y15" s="507"/>
      <c r="Z15" s="879"/>
    </row>
    <row r="16" spans="1:76" ht="15" customHeight="1">
      <c r="B16" s="375">
        <v>1</v>
      </c>
      <c r="C16" s="500"/>
      <c r="D16" s="501"/>
      <c r="E16" s="502"/>
      <c r="F16" s="437"/>
      <c r="G16" s="378"/>
      <c r="H16" s="694"/>
      <c r="I16" s="879"/>
      <c r="J16" s="879"/>
      <c r="K16" s="278"/>
      <c r="L16" s="301">
        <v>1</v>
      </c>
      <c r="M16" s="303" t="s">
        <v>937</v>
      </c>
      <c r="N16" s="381"/>
      <c r="O16" s="996"/>
      <c r="P16" s="437"/>
      <c r="Q16" s="305"/>
      <c r="R16" s="1005"/>
      <c r="S16" s="646"/>
      <c r="T16" s="551" t="str">
        <f t="shared" ref="T16:T59" si="3">IF(W16&gt;1,EOMONTH(W16,0),"")</f>
        <v/>
      </c>
      <c r="U16" s="535">
        <f t="shared" si="0"/>
        <v>0</v>
      </c>
      <c r="V16" s="894"/>
      <c r="W16" s="608"/>
      <c r="X16" s="888"/>
      <c r="Y16" s="507"/>
      <c r="Z16" s="879"/>
    </row>
    <row r="17" spans="1:26" ht="15" customHeight="1">
      <c r="B17" s="375">
        <v>1</v>
      </c>
      <c r="C17" s="500"/>
      <c r="D17" s="501"/>
      <c r="E17" s="502"/>
      <c r="F17" s="437"/>
      <c r="G17" s="378"/>
      <c r="H17" s="694"/>
      <c r="I17" s="879"/>
      <c r="J17" s="879"/>
      <c r="K17" s="278"/>
      <c r="L17" s="301">
        <v>1</v>
      </c>
      <c r="M17" s="303" t="s">
        <v>937</v>
      </c>
      <c r="N17" s="501" t="s">
        <v>950</v>
      </c>
      <c r="O17" s="995">
        <v>270</v>
      </c>
      <c r="P17" s="437">
        <f>2.28*620</f>
        <v>1413.6</v>
      </c>
      <c r="Q17" s="378">
        <f>O17*P17*10%</f>
        <v>38167.200000000004</v>
      </c>
      <c r="R17" s="1005"/>
      <c r="S17" s="646" t="s">
        <v>939</v>
      </c>
      <c r="T17" s="551">
        <v>46142</v>
      </c>
      <c r="U17" s="535">
        <f t="shared" si="0"/>
        <v>39236.184282637929</v>
      </c>
      <c r="V17" s="894"/>
      <c r="W17" s="567">
        <f>W6</f>
        <v>46070</v>
      </c>
      <c r="X17" s="888"/>
      <c r="Y17" s="507"/>
      <c r="Z17" s="879"/>
    </row>
    <row r="18" spans="1:26" ht="15" customHeight="1">
      <c r="B18" s="375"/>
      <c r="C18" s="500"/>
      <c r="D18" s="501"/>
      <c r="E18" s="502"/>
      <c r="F18" s="437"/>
      <c r="G18" s="378"/>
      <c r="H18" s="694"/>
      <c r="I18" s="879"/>
      <c r="J18" s="879"/>
      <c r="K18" s="278"/>
      <c r="L18" s="375"/>
      <c r="M18" s="379"/>
      <c r="N18" s="501"/>
      <c r="O18" s="995"/>
      <c r="P18" s="437"/>
      <c r="Q18" s="378">
        <f>O17*P17*90%</f>
        <v>343504.8</v>
      </c>
      <c r="R18" s="1005"/>
      <c r="S18" s="646" t="s">
        <v>939</v>
      </c>
      <c r="T18" s="551">
        <v>46142</v>
      </c>
      <c r="U18" s="535">
        <f t="shared" si="0"/>
        <v>353125.65854374127</v>
      </c>
      <c r="V18" s="894"/>
      <c r="W18" s="608">
        <f>W7</f>
        <v>46203</v>
      </c>
      <c r="X18" s="888"/>
      <c r="Y18" s="507"/>
      <c r="Z18" s="879"/>
    </row>
    <row r="19" spans="1:26" ht="15" customHeight="1" thickBot="1">
      <c r="B19" s="306">
        <v>1</v>
      </c>
      <c r="C19" s="412"/>
      <c r="D19" s="384"/>
      <c r="E19" s="385"/>
      <c r="F19" s="453"/>
      <c r="G19" s="320"/>
      <c r="H19" s="695"/>
      <c r="I19" s="880"/>
      <c r="J19" s="880"/>
      <c r="K19" s="279"/>
      <c r="L19" s="306">
        <v>1</v>
      </c>
      <c r="M19" s="412" t="s">
        <v>937</v>
      </c>
      <c r="N19" s="384"/>
      <c r="O19" s="997"/>
      <c r="P19" s="453"/>
      <c r="Q19" s="476"/>
      <c r="R19" s="1006"/>
      <c r="S19" s="647"/>
      <c r="T19" s="552" t="str">
        <f t="shared" si="3"/>
        <v/>
      </c>
      <c r="U19" s="536">
        <f t="shared" si="0"/>
        <v>0</v>
      </c>
      <c r="V19" s="895"/>
      <c r="W19" s="609"/>
      <c r="X19" s="889"/>
      <c r="Y19" s="470"/>
      <c r="Z19" s="880"/>
    </row>
    <row r="20" spans="1:26" ht="14.5" thickBot="1">
      <c r="A20" s="24"/>
      <c r="B20" s="266"/>
      <c r="C20" s="267"/>
      <c r="D20" s="268"/>
      <c r="E20" s="281"/>
      <c r="F20" s="449"/>
      <c r="G20" s="269"/>
      <c r="H20" s="696"/>
      <c r="I20" s="270"/>
      <c r="J20" s="270"/>
      <c r="K20" s="24"/>
      <c r="L20" s="266"/>
      <c r="M20" s="395"/>
      <c r="N20" s="396"/>
      <c r="O20" s="471"/>
      <c r="P20" s="473"/>
      <c r="Q20" s="477"/>
      <c r="R20" s="1007"/>
      <c r="S20" s="648"/>
      <c r="T20" s="553" t="str">
        <f t="shared" si="3"/>
        <v/>
      </c>
      <c r="U20" s="537"/>
      <c r="V20" s="525"/>
      <c r="W20" s="610"/>
      <c r="X20" s="340"/>
      <c r="Y20" s="508"/>
      <c r="Z20" s="270"/>
    </row>
    <row r="21" spans="1:26" ht="14.25" customHeight="1">
      <c r="B21" s="283">
        <v>2</v>
      </c>
      <c r="C21" s="309" t="s">
        <v>951</v>
      </c>
      <c r="D21" s="309" t="s">
        <v>952</v>
      </c>
      <c r="E21" s="355"/>
      <c r="F21" s="450"/>
      <c r="G21" s="286">
        <v>9753660</v>
      </c>
      <c r="H21" s="697">
        <v>45929</v>
      </c>
      <c r="I21" s="881">
        <f>SUM(G21:G35)</f>
        <v>9753660</v>
      </c>
      <c r="J21" s="881">
        <v>10321333.3333333</v>
      </c>
      <c r="K21" s="287"/>
      <c r="L21" s="283">
        <v>2</v>
      </c>
      <c r="M21" s="413" t="s">
        <v>953</v>
      </c>
      <c r="N21" s="309" t="s">
        <v>954</v>
      </c>
      <c r="O21" s="574">
        <v>34</v>
      </c>
      <c r="P21" s="450">
        <v>98750.73</v>
      </c>
      <c r="Q21" s="286">
        <f>O21*P21*5%</f>
        <v>167876.24100000001</v>
      </c>
      <c r="R21" s="924" t="s">
        <v>955</v>
      </c>
      <c r="S21" s="649" t="s">
        <v>956</v>
      </c>
      <c r="T21" s="554">
        <v>46081</v>
      </c>
      <c r="U21" s="538">
        <f t="shared" ref="U21:U35" si="4">(Q21/$X$21*$J$21)</f>
        <v>470933.13476285973</v>
      </c>
      <c r="V21" s="920">
        <f>J21-SUM(U21:U35)</f>
        <v>0</v>
      </c>
      <c r="W21" s="568">
        <v>46052</v>
      </c>
      <c r="X21" s="905">
        <f>SUM(Q21:Q35)</f>
        <v>3679305.0099999993</v>
      </c>
      <c r="Y21" s="509"/>
      <c r="Z21" s="881">
        <f>I21-X21</f>
        <v>6074354.9900000002</v>
      </c>
    </row>
    <row r="22" spans="1:26" ht="14.25" customHeight="1">
      <c r="B22" s="310"/>
      <c r="C22" s="805"/>
      <c r="D22" s="806"/>
      <c r="E22" s="386"/>
      <c r="F22" s="446"/>
      <c r="G22" s="484"/>
      <c r="H22" s="807"/>
      <c r="I22" s="882"/>
      <c r="J22" s="882"/>
      <c r="K22" s="291"/>
      <c r="L22" s="288">
        <v>2</v>
      </c>
      <c r="M22" s="419" t="s">
        <v>953</v>
      </c>
      <c r="N22" s="401" t="s">
        <v>957</v>
      </c>
      <c r="O22" s="576"/>
      <c r="P22" s="446"/>
      <c r="Q22" s="484">
        <f>O21*P21*25%</f>
        <v>839381.20499999996</v>
      </c>
      <c r="R22" s="876"/>
      <c r="S22" s="649" t="s">
        <v>956</v>
      </c>
      <c r="T22" s="554">
        <v>46142</v>
      </c>
      <c r="U22" s="538">
        <f t="shared" si="4"/>
        <v>2354665.6738142986</v>
      </c>
      <c r="V22" s="921"/>
      <c r="W22" s="568">
        <v>46070</v>
      </c>
      <c r="X22" s="906"/>
      <c r="Y22" s="512"/>
      <c r="Z22" s="882"/>
    </row>
    <row r="23" spans="1:26" ht="14.25" customHeight="1">
      <c r="B23" s="288">
        <v>2</v>
      </c>
      <c r="C23" s="419"/>
      <c r="D23" s="401"/>
      <c r="E23" s="503"/>
      <c r="F23" s="446"/>
      <c r="G23" s="481"/>
      <c r="H23" s="698"/>
      <c r="I23" s="882"/>
      <c r="J23" s="882"/>
      <c r="K23" s="291"/>
      <c r="L23" s="288">
        <v>2</v>
      </c>
      <c r="M23" s="419" t="s">
        <v>953</v>
      </c>
      <c r="N23" s="401" t="s">
        <v>958</v>
      </c>
      <c r="O23" s="575"/>
      <c r="P23" s="446"/>
      <c r="Q23" s="481">
        <f>O21*P21*70%*25%</f>
        <v>587566.84349999996</v>
      </c>
      <c r="R23" s="876"/>
      <c r="S23" s="649" t="s">
        <v>956</v>
      </c>
      <c r="T23" s="555">
        <f t="shared" si="3"/>
        <v>46142</v>
      </c>
      <c r="U23" s="539">
        <f t="shared" si="4"/>
        <v>1648265.971670009</v>
      </c>
      <c r="V23" s="921"/>
      <c r="W23" s="612">
        <f>'Project Plan'!M113</f>
        <v>46140</v>
      </c>
      <c r="X23" s="906"/>
      <c r="Y23" s="512"/>
      <c r="Z23" s="882"/>
    </row>
    <row r="24" spans="1:26" ht="14.25" customHeight="1">
      <c r="B24" s="288">
        <v>2</v>
      </c>
      <c r="C24" s="419"/>
      <c r="D24" s="401"/>
      <c r="E24" s="503"/>
      <c r="F24" s="446"/>
      <c r="G24" s="481"/>
      <c r="H24" s="698"/>
      <c r="I24" s="882"/>
      <c r="J24" s="882"/>
      <c r="K24" s="291"/>
      <c r="L24" s="288">
        <v>2</v>
      </c>
      <c r="M24" s="419" t="s">
        <v>953</v>
      </c>
      <c r="N24" s="401" t="s">
        <v>959</v>
      </c>
      <c r="O24" s="575"/>
      <c r="P24" s="446"/>
      <c r="Q24" s="481">
        <f>O21*P21*70%*25%</f>
        <v>587566.84349999996</v>
      </c>
      <c r="R24" s="876"/>
      <c r="S24" s="649" t="s">
        <v>956</v>
      </c>
      <c r="T24" s="555">
        <f t="shared" si="3"/>
        <v>46142</v>
      </c>
      <c r="U24" s="539">
        <f t="shared" si="4"/>
        <v>1648265.971670009</v>
      </c>
      <c r="V24" s="921"/>
      <c r="W24" s="612">
        <f>W23</f>
        <v>46140</v>
      </c>
      <c r="X24" s="906"/>
      <c r="Y24" s="512"/>
      <c r="Z24" s="882"/>
    </row>
    <row r="25" spans="1:26" ht="14.25" customHeight="1">
      <c r="B25" s="288">
        <v>2</v>
      </c>
      <c r="C25" s="419"/>
      <c r="D25" s="401"/>
      <c r="E25" s="503"/>
      <c r="F25" s="446"/>
      <c r="G25" s="481"/>
      <c r="H25" s="698"/>
      <c r="I25" s="882"/>
      <c r="J25" s="882"/>
      <c r="K25" s="291"/>
      <c r="L25" s="288">
        <v>2</v>
      </c>
      <c r="M25" s="419" t="s">
        <v>953</v>
      </c>
      <c r="N25" s="401" t="s">
        <v>960</v>
      </c>
      <c r="O25" s="575"/>
      <c r="P25" s="446"/>
      <c r="Q25" s="481">
        <f>O21*P21*70%*25%</f>
        <v>587566.84349999996</v>
      </c>
      <c r="R25" s="876"/>
      <c r="S25" s="649" t="s">
        <v>956</v>
      </c>
      <c r="T25" s="555">
        <f t="shared" si="3"/>
        <v>46142</v>
      </c>
      <c r="U25" s="539">
        <f t="shared" si="4"/>
        <v>1648265.971670009</v>
      </c>
      <c r="V25" s="921"/>
      <c r="W25" s="612">
        <f>W24</f>
        <v>46140</v>
      </c>
      <c r="X25" s="906"/>
      <c r="Y25" s="512"/>
      <c r="Z25" s="882"/>
    </row>
    <row r="26" spans="1:26" ht="14.25" customHeight="1">
      <c r="B26" s="288">
        <v>2</v>
      </c>
      <c r="C26" s="419"/>
      <c r="D26" s="401"/>
      <c r="E26" s="503"/>
      <c r="F26" s="446"/>
      <c r="G26" s="481"/>
      <c r="H26" s="698"/>
      <c r="I26" s="882"/>
      <c r="J26" s="882"/>
      <c r="K26" s="291"/>
      <c r="L26" s="288">
        <v>2</v>
      </c>
      <c r="M26" s="419" t="s">
        <v>953</v>
      </c>
      <c r="N26" s="401" t="s">
        <v>961</v>
      </c>
      <c r="O26" s="575"/>
      <c r="P26" s="446"/>
      <c r="Q26" s="481">
        <f>O21*P21*70%*25%</f>
        <v>587566.84349999996</v>
      </c>
      <c r="R26" s="876"/>
      <c r="S26" s="649" t="s">
        <v>956</v>
      </c>
      <c r="T26" s="555">
        <f t="shared" si="3"/>
        <v>46142</v>
      </c>
      <c r="U26" s="539">
        <f t="shared" si="4"/>
        <v>1648265.971670009</v>
      </c>
      <c r="V26" s="921"/>
      <c r="W26" s="612">
        <f>W25</f>
        <v>46140</v>
      </c>
      <c r="X26" s="906"/>
      <c r="Y26" s="512"/>
      <c r="Z26" s="882"/>
    </row>
    <row r="27" spans="1:26" ht="14.25" customHeight="1">
      <c r="B27" s="288">
        <v>2</v>
      </c>
      <c r="C27" s="419"/>
      <c r="D27" s="401"/>
      <c r="E27" s="503"/>
      <c r="F27" s="446"/>
      <c r="G27" s="481"/>
      <c r="H27" s="698"/>
      <c r="I27" s="882"/>
      <c r="J27" s="882"/>
      <c r="K27" s="291"/>
      <c r="L27" s="288">
        <v>2</v>
      </c>
      <c r="M27" s="419" t="s">
        <v>953</v>
      </c>
      <c r="N27" s="401"/>
      <c r="O27" s="575"/>
      <c r="P27" s="446"/>
      <c r="Q27" s="481"/>
      <c r="R27" s="876"/>
      <c r="S27" s="650"/>
      <c r="T27" s="555" t="str">
        <f t="shared" si="3"/>
        <v/>
      </c>
      <c r="U27" s="539">
        <f t="shared" si="4"/>
        <v>0</v>
      </c>
      <c r="V27" s="921"/>
      <c r="W27" s="612"/>
      <c r="X27" s="906"/>
      <c r="Y27" s="512"/>
      <c r="Z27" s="882"/>
    </row>
    <row r="28" spans="1:26" ht="14.25" customHeight="1">
      <c r="B28" s="288">
        <v>2</v>
      </c>
      <c r="C28" s="419"/>
      <c r="D28" s="401"/>
      <c r="E28" s="503"/>
      <c r="F28" s="446"/>
      <c r="G28" s="481"/>
      <c r="H28" s="698"/>
      <c r="I28" s="882"/>
      <c r="J28" s="882"/>
      <c r="K28" s="291"/>
      <c r="L28" s="288">
        <v>2</v>
      </c>
      <c r="M28" s="419" t="s">
        <v>953</v>
      </c>
      <c r="N28" s="401" t="s">
        <v>962</v>
      </c>
      <c r="O28" s="575">
        <v>3</v>
      </c>
      <c r="P28" s="446">
        <f>P21</f>
        <v>98750.73</v>
      </c>
      <c r="Q28" s="481">
        <f>O28*P28*5%</f>
        <v>14812.6095</v>
      </c>
      <c r="R28" s="876"/>
      <c r="S28" s="650" t="s">
        <v>956</v>
      </c>
      <c r="T28" s="555">
        <v>46142</v>
      </c>
      <c r="U28" s="539">
        <f t="shared" si="4"/>
        <v>41552.923655546445</v>
      </c>
      <c r="V28" s="921"/>
      <c r="W28" s="569">
        <v>46052</v>
      </c>
      <c r="X28" s="906"/>
      <c r="Y28" s="512"/>
      <c r="Z28" s="882"/>
    </row>
    <row r="29" spans="1:26" ht="14.25" customHeight="1">
      <c r="B29" s="288"/>
      <c r="C29" s="419"/>
      <c r="D29" s="401"/>
      <c r="E29" s="503"/>
      <c r="F29" s="446"/>
      <c r="G29" s="481"/>
      <c r="H29" s="698"/>
      <c r="I29" s="882"/>
      <c r="J29" s="882"/>
      <c r="K29" s="291"/>
      <c r="L29" s="288">
        <v>2</v>
      </c>
      <c r="M29" s="419" t="s">
        <v>953</v>
      </c>
      <c r="N29" s="401" t="s">
        <v>963</v>
      </c>
      <c r="O29" s="575"/>
      <c r="P29" s="446"/>
      <c r="Q29" s="481">
        <f>O28*P28*25%</f>
        <v>74063.047500000001</v>
      </c>
      <c r="R29" s="876"/>
      <c r="S29" s="649" t="s">
        <v>956</v>
      </c>
      <c r="T29" s="555">
        <v>46142</v>
      </c>
      <c r="U29" s="539">
        <f t="shared" si="4"/>
        <v>207764.6182777322</v>
      </c>
      <c r="V29" s="921"/>
      <c r="W29" s="569">
        <f>W22</f>
        <v>46070</v>
      </c>
      <c r="X29" s="906"/>
      <c r="Y29" s="512"/>
      <c r="Z29" s="882"/>
    </row>
    <row r="30" spans="1:26" ht="14.25" customHeight="1">
      <c r="B30" s="288"/>
      <c r="C30" s="419"/>
      <c r="D30" s="401"/>
      <c r="E30" s="503"/>
      <c r="F30" s="446"/>
      <c r="G30" s="481"/>
      <c r="H30" s="698"/>
      <c r="I30" s="882"/>
      <c r="J30" s="882"/>
      <c r="K30" s="291"/>
      <c r="L30" s="288">
        <v>2</v>
      </c>
      <c r="M30" s="419" t="s">
        <v>953</v>
      </c>
      <c r="N30" s="401" t="s">
        <v>964</v>
      </c>
      <c r="O30" s="575"/>
      <c r="P30" s="446"/>
      <c r="Q30" s="481">
        <f>O28*P28*70%</f>
        <v>207376.533</v>
      </c>
      <c r="R30" s="877"/>
      <c r="S30" s="649" t="s">
        <v>956</v>
      </c>
      <c r="T30" s="555">
        <v>46142</v>
      </c>
      <c r="U30" s="539">
        <f t="shared" si="4"/>
        <v>581740.93117765011</v>
      </c>
      <c r="V30" s="921"/>
      <c r="W30" s="612">
        <f>W26</f>
        <v>46140</v>
      </c>
      <c r="X30" s="906"/>
      <c r="Y30" s="512"/>
      <c r="Z30" s="882"/>
    </row>
    <row r="31" spans="1:26" ht="14.25" customHeight="1">
      <c r="B31" s="288">
        <v>2</v>
      </c>
      <c r="C31" s="419"/>
      <c r="D31" s="401"/>
      <c r="E31" s="503"/>
      <c r="F31" s="446"/>
      <c r="G31" s="481"/>
      <c r="H31" s="698"/>
      <c r="I31" s="882"/>
      <c r="J31" s="882"/>
      <c r="K31" s="291"/>
      <c r="L31" s="288">
        <v>2</v>
      </c>
      <c r="M31" s="419" t="s">
        <v>953</v>
      </c>
      <c r="N31" s="401"/>
      <c r="O31" s="575"/>
      <c r="P31" s="446"/>
      <c r="Q31" s="481"/>
      <c r="R31" s="1008"/>
      <c r="S31" s="650"/>
      <c r="T31" s="555" t="str">
        <f t="shared" si="3"/>
        <v/>
      </c>
      <c r="U31" s="539">
        <f t="shared" si="4"/>
        <v>0</v>
      </c>
      <c r="V31" s="921"/>
      <c r="W31" s="612"/>
      <c r="X31" s="906"/>
      <c r="Y31" s="512"/>
      <c r="Z31" s="882"/>
    </row>
    <row r="32" spans="1:26" ht="14.25" customHeight="1">
      <c r="B32" s="288">
        <v>2</v>
      </c>
      <c r="C32" s="419"/>
      <c r="D32" s="401"/>
      <c r="E32" s="503"/>
      <c r="F32" s="446"/>
      <c r="G32" s="481"/>
      <c r="H32" s="698"/>
      <c r="I32" s="882"/>
      <c r="J32" s="882"/>
      <c r="K32" s="291"/>
      <c r="L32" s="288">
        <v>2</v>
      </c>
      <c r="M32" s="419" t="s">
        <v>953</v>
      </c>
      <c r="N32" s="401" t="s">
        <v>965</v>
      </c>
      <c r="O32" s="575">
        <v>1</v>
      </c>
      <c r="P32" s="446">
        <v>8944</v>
      </c>
      <c r="Q32" s="481">
        <f>O32*P32</f>
        <v>8944</v>
      </c>
      <c r="R32" s="1008"/>
      <c r="S32" s="650"/>
      <c r="T32" s="555">
        <f t="shared" si="3"/>
        <v>46234</v>
      </c>
      <c r="U32" s="539">
        <f t="shared" si="4"/>
        <v>25090.065945180519</v>
      </c>
      <c r="V32" s="921"/>
      <c r="W32" s="612">
        <f>W33</f>
        <v>46234</v>
      </c>
      <c r="X32" s="906"/>
      <c r="Y32" s="512"/>
      <c r="Z32" s="882"/>
    </row>
    <row r="33" spans="1:26" ht="14.25" customHeight="1">
      <c r="B33" s="288">
        <v>2</v>
      </c>
      <c r="C33" s="419"/>
      <c r="D33" s="401"/>
      <c r="E33" s="503"/>
      <c r="F33" s="446"/>
      <c r="G33" s="481"/>
      <c r="H33" s="698"/>
      <c r="I33" s="882"/>
      <c r="J33" s="882"/>
      <c r="K33" s="291"/>
      <c r="L33" s="288">
        <v>2</v>
      </c>
      <c r="M33" s="419" t="s">
        <v>953</v>
      </c>
      <c r="N33" s="401" t="s">
        <v>966</v>
      </c>
      <c r="O33" s="575">
        <v>1</v>
      </c>
      <c r="P33" s="446">
        <v>3424</v>
      </c>
      <c r="Q33" s="481">
        <f>O33*P33</f>
        <v>3424</v>
      </c>
      <c r="R33" s="1008"/>
      <c r="S33" s="650"/>
      <c r="T33" s="555">
        <f t="shared" si="3"/>
        <v>46234</v>
      </c>
      <c r="U33" s="539">
        <f t="shared" si="4"/>
        <v>9605.1415246308225</v>
      </c>
      <c r="V33" s="921"/>
      <c r="W33" s="612">
        <f>EOMONTH('Project Plan'!K278+30,0)</f>
        <v>46234</v>
      </c>
      <c r="X33" s="906"/>
      <c r="Y33" s="512"/>
      <c r="Z33" s="882"/>
    </row>
    <row r="34" spans="1:26" ht="14.25" customHeight="1">
      <c r="B34" s="288">
        <v>2</v>
      </c>
      <c r="C34" s="419"/>
      <c r="D34" s="401"/>
      <c r="E34" s="503"/>
      <c r="F34" s="446"/>
      <c r="G34" s="481"/>
      <c r="H34" s="698"/>
      <c r="I34" s="882"/>
      <c r="J34" s="882"/>
      <c r="K34" s="291"/>
      <c r="L34" s="288">
        <v>2</v>
      </c>
      <c r="M34" s="419" t="s">
        <v>953</v>
      </c>
      <c r="N34" s="401" t="s">
        <v>967</v>
      </c>
      <c r="O34" s="575">
        <v>1</v>
      </c>
      <c r="P34" s="446">
        <v>13160</v>
      </c>
      <c r="Q34" s="481">
        <f>O34*P34</f>
        <v>13160</v>
      </c>
      <c r="R34" s="1008"/>
      <c r="S34" s="650"/>
      <c r="T34" s="555">
        <f t="shared" si="3"/>
        <v>46234</v>
      </c>
      <c r="U34" s="539">
        <f t="shared" si="4"/>
        <v>36916.957495368471</v>
      </c>
      <c r="V34" s="921"/>
      <c r="W34" s="612">
        <f>EOMONTH('Project Plan'!K278+30,0)</f>
        <v>46234</v>
      </c>
      <c r="X34" s="906"/>
      <c r="Y34" s="512"/>
      <c r="Z34" s="882"/>
    </row>
    <row r="35" spans="1:26" ht="15" customHeight="1" thickBot="1">
      <c r="B35" s="387">
        <v>2</v>
      </c>
      <c r="C35" s="388"/>
      <c r="D35" s="388"/>
      <c r="E35" s="389"/>
      <c r="F35" s="460"/>
      <c r="G35" s="390"/>
      <c r="H35" s="699"/>
      <c r="I35" s="883"/>
      <c r="J35" s="883"/>
      <c r="K35" s="296"/>
      <c r="L35" s="387">
        <v>2</v>
      </c>
      <c r="M35" s="414" t="s">
        <v>953</v>
      </c>
      <c r="N35" s="388"/>
      <c r="O35" s="389"/>
      <c r="P35" s="460"/>
      <c r="Q35" s="478"/>
      <c r="R35" s="1009"/>
      <c r="S35" s="651"/>
      <c r="T35" s="556" t="str">
        <f t="shared" si="3"/>
        <v/>
      </c>
      <c r="U35" s="539">
        <f t="shared" si="4"/>
        <v>0</v>
      </c>
      <c r="V35" s="922"/>
      <c r="W35" s="613"/>
      <c r="X35" s="907"/>
      <c r="Y35" s="510"/>
      <c r="Z35" s="883"/>
    </row>
    <row r="36" spans="1:26" ht="14.5" thickBot="1">
      <c r="A36" s="24"/>
      <c r="B36" s="280"/>
      <c r="C36" s="267"/>
      <c r="D36" s="267"/>
      <c r="E36" s="281"/>
      <c r="F36" s="449"/>
      <c r="G36" s="282"/>
      <c r="H36" s="700"/>
      <c r="I36" s="270"/>
      <c r="J36" s="270"/>
      <c r="K36" s="24"/>
      <c r="L36" s="280"/>
      <c r="M36" s="267"/>
      <c r="N36" s="267"/>
      <c r="O36" s="281"/>
      <c r="P36" s="449"/>
      <c r="Q36" s="479"/>
      <c r="R36" s="1010"/>
      <c r="S36" s="652"/>
      <c r="T36" s="553" t="str">
        <f t="shared" si="3"/>
        <v/>
      </c>
      <c r="U36" s="541"/>
      <c r="V36" s="521"/>
      <c r="W36" s="610"/>
      <c r="X36" s="340"/>
      <c r="Y36" s="508"/>
      <c r="Z36" s="270"/>
    </row>
    <row r="37" spans="1:26" ht="14.25" customHeight="1">
      <c r="B37" s="271">
        <v>3</v>
      </c>
      <c r="C37" s="299" t="s">
        <v>295</v>
      </c>
      <c r="D37" s="317" t="s">
        <v>968</v>
      </c>
      <c r="E37" s="273"/>
      <c r="F37" s="430">
        <f>G37/10373.84</f>
        <v>1930.8658703045353</v>
      </c>
      <c r="G37" s="274">
        <v>20030493.600000001</v>
      </c>
      <c r="H37" s="701">
        <v>45900</v>
      </c>
      <c r="I37" s="878">
        <f>SUM(G37:G54)</f>
        <v>25341747.600000001</v>
      </c>
      <c r="J37" s="878">
        <v>26816664.126984101</v>
      </c>
      <c r="K37" s="275"/>
      <c r="L37" s="271">
        <v>3</v>
      </c>
      <c r="M37" s="415" t="s">
        <v>969</v>
      </c>
      <c r="N37" s="317"/>
      <c r="O37" s="430"/>
      <c r="P37" s="274"/>
      <c r="Q37" s="274"/>
      <c r="R37" s="873"/>
      <c r="S37" s="653"/>
      <c r="T37" s="557" t="str">
        <f t="shared" si="3"/>
        <v/>
      </c>
      <c r="U37" s="542">
        <f t="shared" ref="U37:U54" si="5">(Q37/$X$37*$J$37)</f>
        <v>0</v>
      </c>
      <c r="V37" s="893">
        <f>J37-SUM(U37:U54)</f>
        <v>0</v>
      </c>
      <c r="W37" s="614"/>
      <c r="X37" s="887">
        <f>SUM(Q37:Q54)</f>
        <v>11556814.283594001</v>
      </c>
      <c r="Y37" s="511"/>
      <c r="Z37" s="878">
        <f>I37-X37</f>
        <v>13784933.316406</v>
      </c>
    </row>
    <row r="38" spans="1:26" ht="14.25" customHeight="1">
      <c r="B38" s="301">
        <v>3</v>
      </c>
      <c r="C38" s="302"/>
      <c r="D38" s="318" t="s">
        <v>970</v>
      </c>
      <c r="E38" s="304"/>
      <c r="F38" s="452"/>
      <c r="G38" s="305">
        <v>4233762</v>
      </c>
      <c r="H38" s="693">
        <v>45929</v>
      </c>
      <c r="I38" s="879"/>
      <c r="J38" s="879"/>
      <c r="K38" s="278"/>
      <c r="L38" s="301">
        <v>3</v>
      </c>
      <c r="M38" s="416" t="s">
        <v>969</v>
      </c>
      <c r="N38" s="318" t="s">
        <v>971</v>
      </c>
      <c r="O38" s="582">
        <v>0.3</v>
      </c>
      <c r="P38" s="452">
        <f>AD7*32%</f>
        <v>2982663.1307500806</v>
      </c>
      <c r="Q38" s="305">
        <f>O38*P38</f>
        <v>894798.93922502419</v>
      </c>
      <c r="R38" s="901" t="s">
        <v>972</v>
      </c>
      <c r="S38" s="645" t="s">
        <v>973</v>
      </c>
      <c r="T38" s="557">
        <v>46081</v>
      </c>
      <c r="U38" s="534">
        <f t="shared" si="5"/>
        <v>2076309.4418193656</v>
      </c>
      <c r="V38" s="894"/>
      <c r="W38" s="607">
        <v>46079</v>
      </c>
      <c r="X38" s="888"/>
      <c r="Y38" s="507"/>
      <c r="Z38" s="879"/>
    </row>
    <row r="39" spans="1:26" ht="14.25" customHeight="1">
      <c r="B39" s="301">
        <v>3</v>
      </c>
      <c r="C39" s="302"/>
      <c r="D39" s="318" t="s">
        <v>974</v>
      </c>
      <c r="E39" s="304"/>
      <c r="F39" s="452"/>
      <c r="G39" s="305">
        <v>1077492</v>
      </c>
      <c r="H39" s="693">
        <v>46013</v>
      </c>
      <c r="I39" s="879"/>
      <c r="J39" s="879"/>
      <c r="K39" s="278"/>
      <c r="L39" s="301">
        <v>3</v>
      </c>
      <c r="M39" s="416" t="s">
        <v>969</v>
      </c>
      <c r="N39" s="318" t="s">
        <v>975</v>
      </c>
      <c r="O39" s="582">
        <v>0.7</v>
      </c>
      <c r="P39" s="452"/>
      <c r="Q39" s="305">
        <f>P38*O39</f>
        <v>2087864.1915250563</v>
      </c>
      <c r="R39" s="902"/>
      <c r="S39" s="645"/>
      <c r="T39" s="557">
        <f t="shared" si="3"/>
        <v>46173</v>
      </c>
      <c r="U39" s="534">
        <f t="shared" si="5"/>
        <v>4844722.0309118526</v>
      </c>
      <c r="V39" s="894"/>
      <c r="W39" s="607">
        <f>'Project Plan'!M109</f>
        <v>46150</v>
      </c>
      <c r="X39" s="888"/>
      <c r="Y39" s="507"/>
      <c r="Z39" s="879"/>
    </row>
    <row r="40" spans="1:26" ht="14.25" customHeight="1">
      <c r="B40" s="301"/>
      <c r="C40" s="376"/>
      <c r="D40" s="377"/>
      <c r="E40" s="399"/>
      <c r="F40" s="437"/>
      <c r="G40" s="378"/>
      <c r="H40" s="694"/>
      <c r="I40" s="879"/>
      <c r="J40" s="879"/>
      <c r="K40" s="278"/>
      <c r="L40" s="301">
        <v>3</v>
      </c>
      <c r="M40" s="416" t="s">
        <v>969</v>
      </c>
      <c r="N40" s="377"/>
      <c r="O40" s="583"/>
      <c r="P40" s="437"/>
      <c r="Q40" s="378"/>
      <c r="R40" s="902"/>
      <c r="S40" s="646"/>
      <c r="T40" s="557" t="str">
        <f t="shared" si="3"/>
        <v/>
      </c>
      <c r="U40" s="534">
        <f t="shared" si="5"/>
        <v>0</v>
      </c>
      <c r="V40" s="894"/>
      <c r="W40" s="608"/>
      <c r="X40" s="888"/>
      <c r="Y40" s="507"/>
      <c r="Z40" s="879"/>
    </row>
    <row r="41" spans="1:26" ht="14.25" customHeight="1">
      <c r="B41" s="301"/>
      <c r="C41" s="376"/>
      <c r="D41" s="377"/>
      <c r="E41" s="399"/>
      <c r="F41" s="437"/>
      <c r="G41" s="378"/>
      <c r="H41" s="694"/>
      <c r="I41" s="879"/>
      <c r="J41" s="879"/>
      <c r="K41" s="278"/>
      <c r="L41" s="301">
        <v>3</v>
      </c>
      <c r="M41" s="416" t="s">
        <v>969</v>
      </c>
      <c r="N41" s="318" t="s">
        <v>976</v>
      </c>
      <c r="O41" s="582">
        <v>0.3</v>
      </c>
      <c r="P41" s="452">
        <f>AD7*32%</f>
        <v>2982663.1307500806</v>
      </c>
      <c r="Q41" s="305">
        <f>O41*P41</f>
        <v>894798.93922502419</v>
      </c>
      <c r="R41" s="902"/>
      <c r="S41" s="646" t="str">
        <f>S38</f>
        <v>Schletter INVQ0176</v>
      </c>
      <c r="T41" s="557">
        <v>46081</v>
      </c>
      <c r="U41" s="534">
        <f t="shared" si="5"/>
        <v>2076309.4418193656</v>
      </c>
      <c r="V41" s="894"/>
      <c r="W41" s="608">
        <f>W38</f>
        <v>46079</v>
      </c>
      <c r="X41" s="888"/>
      <c r="Y41" s="507"/>
      <c r="Z41" s="879"/>
    </row>
    <row r="42" spans="1:26" ht="14.25" customHeight="1">
      <c r="B42" s="301"/>
      <c r="C42" s="376"/>
      <c r="D42" s="377"/>
      <c r="E42" s="399"/>
      <c r="F42" s="437"/>
      <c r="G42" s="378"/>
      <c r="H42" s="694"/>
      <c r="I42" s="879"/>
      <c r="J42" s="879"/>
      <c r="K42" s="278"/>
      <c r="L42" s="301">
        <v>3</v>
      </c>
      <c r="M42" s="416" t="s">
        <v>969</v>
      </c>
      <c r="N42" s="318" t="s">
        <v>977</v>
      </c>
      <c r="O42" s="582">
        <v>0.7</v>
      </c>
      <c r="P42" s="452"/>
      <c r="Q42" s="305">
        <f>P41*O42</f>
        <v>2087864.1915250563</v>
      </c>
      <c r="R42" s="902"/>
      <c r="S42" s="646"/>
      <c r="T42" s="557">
        <f t="shared" si="3"/>
        <v>46173</v>
      </c>
      <c r="U42" s="534">
        <f t="shared" si="5"/>
        <v>4844722.0309118526</v>
      </c>
      <c r="V42" s="894"/>
      <c r="W42" s="608">
        <f>'Project Plan'!M110</f>
        <v>46171</v>
      </c>
      <c r="X42" s="888"/>
      <c r="Y42" s="507"/>
      <c r="Z42" s="879"/>
    </row>
    <row r="43" spans="1:26" ht="14.25" customHeight="1">
      <c r="B43" s="301"/>
      <c r="C43" s="376"/>
      <c r="D43" s="377"/>
      <c r="E43" s="399"/>
      <c r="F43" s="437"/>
      <c r="G43" s="378"/>
      <c r="H43" s="694"/>
      <c r="I43" s="879"/>
      <c r="J43" s="879"/>
      <c r="K43" s="278"/>
      <c r="L43" s="301">
        <v>3</v>
      </c>
      <c r="M43" s="416" t="s">
        <v>969</v>
      </c>
      <c r="N43" s="377"/>
      <c r="O43" s="583"/>
      <c r="P43" s="437"/>
      <c r="Q43" s="378"/>
      <c r="R43" s="902"/>
      <c r="S43" s="646"/>
      <c r="T43" s="557" t="str">
        <f t="shared" si="3"/>
        <v/>
      </c>
      <c r="U43" s="534">
        <f t="shared" si="5"/>
        <v>0</v>
      </c>
      <c r="V43" s="894"/>
      <c r="W43" s="608"/>
      <c r="X43" s="888"/>
      <c r="Y43" s="507"/>
      <c r="Z43" s="879"/>
    </row>
    <row r="44" spans="1:26" ht="14.25" customHeight="1">
      <c r="B44" s="301"/>
      <c r="C44" s="376"/>
      <c r="D44" s="377"/>
      <c r="E44" s="399"/>
      <c r="F44" s="437"/>
      <c r="G44" s="378"/>
      <c r="H44" s="694"/>
      <c r="I44" s="879"/>
      <c r="J44" s="879"/>
      <c r="K44" s="278"/>
      <c r="L44" s="301">
        <v>3</v>
      </c>
      <c r="M44" s="416" t="s">
        <v>969</v>
      </c>
      <c r="N44" s="318" t="s">
        <v>978</v>
      </c>
      <c r="O44" s="582">
        <v>0.3</v>
      </c>
      <c r="P44" s="452">
        <f>AD7*36%</f>
        <v>3355496.0220938404</v>
      </c>
      <c r="Q44" s="305">
        <f>O44*P44</f>
        <v>1006648.806628152</v>
      </c>
      <c r="R44" s="902"/>
      <c r="S44" s="646" t="str">
        <f>S38</f>
        <v>Schletter INVQ0176</v>
      </c>
      <c r="T44" s="557">
        <v>46081</v>
      </c>
      <c r="U44" s="534">
        <f t="shared" si="5"/>
        <v>2335848.1220467859</v>
      </c>
      <c r="V44" s="894"/>
      <c r="W44" s="608">
        <f>W38</f>
        <v>46079</v>
      </c>
      <c r="X44" s="888"/>
      <c r="Y44" s="507"/>
      <c r="Z44" s="879"/>
    </row>
    <row r="45" spans="1:26" ht="14.25" customHeight="1">
      <c r="B45" s="301"/>
      <c r="C45" s="376"/>
      <c r="D45" s="377"/>
      <c r="E45" s="399"/>
      <c r="F45" s="437"/>
      <c r="G45" s="378"/>
      <c r="H45" s="694"/>
      <c r="I45" s="879"/>
      <c r="J45" s="879"/>
      <c r="K45" s="278"/>
      <c r="L45" s="301">
        <v>3</v>
      </c>
      <c r="M45" s="416" t="s">
        <v>969</v>
      </c>
      <c r="N45" s="318" t="s">
        <v>979</v>
      </c>
      <c r="O45" s="582">
        <v>0.7</v>
      </c>
      <c r="P45" s="452"/>
      <c r="Q45" s="305">
        <f>P44*O45</f>
        <v>2348847.2154656881</v>
      </c>
      <c r="R45" s="923"/>
      <c r="S45" s="646"/>
      <c r="T45" s="557">
        <f t="shared" si="3"/>
        <v>46203</v>
      </c>
      <c r="U45" s="534">
        <f t="shared" si="5"/>
        <v>5450312.2847758336</v>
      </c>
      <c r="V45" s="894"/>
      <c r="W45" s="608">
        <f>'Project Plan'!M111</f>
        <v>46202</v>
      </c>
      <c r="X45" s="888"/>
      <c r="Y45" s="507"/>
      <c r="Z45" s="879"/>
    </row>
    <row r="46" spans="1:26" ht="14.25" customHeight="1">
      <c r="B46" s="301">
        <v>3</v>
      </c>
      <c r="C46" s="376"/>
      <c r="D46" s="377"/>
      <c r="E46" s="399"/>
      <c r="F46" s="437"/>
      <c r="G46" s="378"/>
      <c r="H46" s="694"/>
      <c r="I46" s="879"/>
      <c r="J46" s="879"/>
      <c r="K46" s="278"/>
      <c r="L46" s="301">
        <v>3</v>
      </c>
      <c r="M46" s="416" t="s">
        <v>969</v>
      </c>
      <c r="N46" s="377"/>
      <c r="O46" s="573"/>
      <c r="P46" s="437"/>
      <c r="Q46" s="378"/>
      <c r="R46" s="1003"/>
      <c r="S46" s="646"/>
      <c r="T46" s="551" t="str">
        <f t="shared" si="3"/>
        <v/>
      </c>
      <c r="U46" s="535">
        <f t="shared" si="5"/>
        <v>0</v>
      </c>
      <c r="V46" s="894"/>
      <c r="W46" s="608"/>
      <c r="X46" s="888"/>
      <c r="Y46" s="507"/>
      <c r="Z46" s="879"/>
    </row>
    <row r="47" spans="1:26" ht="14.25" customHeight="1">
      <c r="B47" s="301">
        <v>3</v>
      </c>
      <c r="C47" s="376"/>
      <c r="D47" s="377"/>
      <c r="E47" s="399"/>
      <c r="F47" s="437"/>
      <c r="G47" s="378"/>
      <c r="H47" s="694"/>
      <c r="I47" s="879"/>
      <c r="J47" s="879"/>
      <c r="K47" s="278"/>
      <c r="L47" s="301">
        <v>3</v>
      </c>
      <c r="M47" s="416" t="s">
        <v>969</v>
      </c>
      <c r="N47" s="861" t="s">
        <v>980</v>
      </c>
      <c r="O47" s="862"/>
      <c r="P47" s="863"/>
      <c r="Q47" s="864">
        <v>1077492</v>
      </c>
      <c r="R47" s="1003"/>
      <c r="S47" s="646"/>
      <c r="T47" s="551">
        <v>46142</v>
      </c>
      <c r="U47" s="535">
        <f t="shared" si="5"/>
        <v>2500234.0917194793</v>
      </c>
      <c r="V47" s="894"/>
      <c r="W47" s="608">
        <f>T47+30</f>
        <v>46172</v>
      </c>
      <c r="X47" s="888"/>
      <c r="Y47" s="507"/>
      <c r="Z47" s="879"/>
    </row>
    <row r="48" spans="1:26" ht="14.25" customHeight="1">
      <c r="B48" s="301">
        <v>3</v>
      </c>
      <c r="C48" s="376"/>
      <c r="D48" s="377"/>
      <c r="E48" s="399"/>
      <c r="F48" s="437"/>
      <c r="G48" s="378"/>
      <c r="H48" s="694"/>
      <c r="I48" s="879"/>
      <c r="J48" s="879"/>
      <c r="K48" s="278"/>
      <c r="L48" s="301">
        <v>3</v>
      </c>
      <c r="M48" s="416" t="s">
        <v>969</v>
      </c>
      <c r="N48" s="318"/>
      <c r="O48" s="572"/>
      <c r="P48" s="452"/>
      <c r="Q48" s="305"/>
      <c r="R48" s="1003"/>
      <c r="S48" s="646"/>
      <c r="T48" s="551"/>
      <c r="U48" s="535">
        <f t="shared" si="5"/>
        <v>0</v>
      </c>
      <c r="V48" s="894"/>
      <c r="W48" s="608"/>
      <c r="X48" s="888"/>
      <c r="Y48" s="507"/>
      <c r="Z48" s="879"/>
    </row>
    <row r="49" spans="1:26" ht="14.25" customHeight="1">
      <c r="B49" s="301">
        <v>3</v>
      </c>
      <c r="C49" s="376"/>
      <c r="D49" s="377"/>
      <c r="E49" s="399"/>
      <c r="F49" s="437"/>
      <c r="G49" s="378"/>
      <c r="H49" s="694"/>
      <c r="I49" s="879"/>
      <c r="J49" s="879"/>
      <c r="K49" s="278"/>
      <c r="L49" s="301">
        <v>3</v>
      </c>
      <c r="M49" s="416" t="s">
        <v>969</v>
      </c>
      <c r="N49" s="861" t="s">
        <v>981</v>
      </c>
      <c r="O49" s="865">
        <v>0.3</v>
      </c>
      <c r="P49" s="866"/>
      <c r="Q49" s="867">
        <f>968060*O49</f>
        <v>290418</v>
      </c>
      <c r="R49" s="1003"/>
      <c r="S49" s="646"/>
      <c r="T49" s="551">
        <v>46203</v>
      </c>
      <c r="U49" s="535">
        <f t="shared" si="5"/>
        <v>673891.76388222631</v>
      </c>
      <c r="V49" s="894"/>
      <c r="W49" s="608">
        <f>'Project Plan'!K112</f>
        <v>46084</v>
      </c>
      <c r="X49" s="888"/>
      <c r="Y49" s="507"/>
      <c r="Z49" s="879"/>
    </row>
    <row r="50" spans="1:26" ht="14.25" customHeight="1">
      <c r="B50" s="301">
        <v>3</v>
      </c>
      <c r="C50" s="376"/>
      <c r="D50" s="377"/>
      <c r="E50" s="399"/>
      <c r="F50" s="437"/>
      <c r="G50" s="378"/>
      <c r="H50" s="694"/>
      <c r="I50" s="879"/>
      <c r="J50" s="879"/>
      <c r="K50" s="278"/>
      <c r="L50" s="301">
        <v>3</v>
      </c>
      <c r="M50" s="416" t="s">
        <v>969</v>
      </c>
      <c r="N50" s="861" t="s">
        <v>982</v>
      </c>
      <c r="O50" s="865">
        <v>0.7</v>
      </c>
      <c r="P50" s="866"/>
      <c r="Q50" s="867">
        <f>968060*O50</f>
        <v>677642</v>
      </c>
      <c r="R50" s="1003"/>
      <c r="S50" s="646"/>
      <c r="T50" s="551">
        <v>46265</v>
      </c>
      <c r="U50" s="535">
        <f t="shared" si="5"/>
        <v>1572414.1157251946</v>
      </c>
      <c r="V50" s="894"/>
      <c r="W50" s="608">
        <f>T50-14</f>
        <v>46251</v>
      </c>
      <c r="X50" s="888"/>
      <c r="Y50" s="507"/>
      <c r="Z50" s="879"/>
    </row>
    <row r="51" spans="1:26" ht="14.25" customHeight="1">
      <c r="B51" s="301">
        <v>3</v>
      </c>
      <c r="C51" s="376"/>
      <c r="D51" s="377"/>
      <c r="E51" s="399"/>
      <c r="F51" s="437"/>
      <c r="G51" s="378"/>
      <c r="H51" s="694"/>
      <c r="I51" s="879"/>
      <c r="J51" s="879"/>
      <c r="K51" s="278"/>
      <c r="L51" s="301">
        <v>3</v>
      </c>
      <c r="M51" s="416" t="s">
        <v>969</v>
      </c>
      <c r="N51" s="377"/>
      <c r="O51" s="399"/>
      <c r="P51" s="437"/>
      <c r="Q51" s="485"/>
      <c r="R51" s="1003"/>
      <c r="S51" s="646"/>
      <c r="T51" s="551" t="str">
        <f t="shared" si="3"/>
        <v/>
      </c>
      <c r="U51" s="535">
        <f t="shared" si="5"/>
        <v>0</v>
      </c>
      <c r="V51" s="894"/>
      <c r="W51" s="608"/>
      <c r="X51" s="888"/>
      <c r="Y51" s="507"/>
      <c r="Z51" s="879"/>
    </row>
    <row r="52" spans="1:26" ht="14.25" customHeight="1">
      <c r="B52" s="301">
        <v>3</v>
      </c>
      <c r="C52" s="376"/>
      <c r="D52" s="377"/>
      <c r="E52" s="399"/>
      <c r="F52" s="437"/>
      <c r="G52" s="378"/>
      <c r="H52" s="694"/>
      <c r="I52" s="879"/>
      <c r="J52" s="879"/>
      <c r="K52" s="278"/>
      <c r="L52" s="301">
        <v>3</v>
      </c>
      <c r="M52" s="416" t="s">
        <v>969</v>
      </c>
      <c r="N52" s="377" t="s">
        <v>983</v>
      </c>
      <c r="O52" s="757">
        <v>0.5</v>
      </c>
      <c r="P52" s="437">
        <v>190440</v>
      </c>
      <c r="Q52" s="485">
        <f>O52*P52</f>
        <v>95220</v>
      </c>
      <c r="R52" s="1003"/>
      <c r="S52" s="646"/>
      <c r="T52" s="551">
        <f t="shared" si="3"/>
        <v>46265</v>
      </c>
      <c r="U52" s="535">
        <f t="shared" si="5"/>
        <v>220950.40168607174</v>
      </c>
      <c r="V52" s="894"/>
      <c r="W52" s="608">
        <f>'Project Plan'!K162</f>
        <v>46265</v>
      </c>
      <c r="X52" s="888"/>
      <c r="Y52" s="507"/>
      <c r="Z52" s="879"/>
    </row>
    <row r="53" spans="1:26" ht="14.25" customHeight="1">
      <c r="B53" s="301">
        <v>3</v>
      </c>
      <c r="C53" s="376"/>
      <c r="D53" s="377"/>
      <c r="E53" s="399"/>
      <c r="F53" s="437"/>
      <c r="G53" s="378"/>
      <c r="H53" s="694"/>
      <c r="I53" s="879"/>
      <c r="J53" s="879"/>
      <c r="K53" s="278"/>
      <c r="L53" s="301">
        <v>3</v>
      </c>
      <c r="M53" s="416" t="s">
        <v>969</v>
      </c>
      <c r="N53" s="377" t="s">
        <v>984</v>
      </c>
      <c r="O53" s="757">
        <v>0.5</v>
      </c>
      <c r="P53" s="437"/>
      <c r="Q53" s="485">
        <f>O53*P52</f>
        <v>95220</v>
      </c>
      <c r="R53" s="1003"/>
      <c r="S53" s="646"/>
      <c r="T53" s="551">
        <f t="shared" si="3"/>
        <v>46295</v>
      </c>
      <c r="U53" s="535">
        <f t="shared" si="5"/>
        <v>220950.40168607174</v>
      </c>
      <c r="V53" s="894"/>
      <c r="W53" s="608">
        <f>W52+14</f>
        <v>46279</v>
      </c>
      <c r="X53" s="888"/>
      <c r="Y53" s="507"/>
      <c r="Z53" s="879"/>
    </row>
    <row r="54" spans="1:26" ht="15" customHeight="1" thickBot="1">
      <c r="B54" s="306">
        <v>3</v>
      </c>
      <c r="C54" s="327"/>
      <c r="D54" s="319"/>
      <c r="E54" s="308"/>
      <c r="F54" s="453"/>
      <c r="G54" s="320"/>
      <c r="H54" s="695"/>
      <c r="I54" s="880"/>
      <c r="J54" s="880"/>
      <c r="K54" s="279"/>
      <c r="L54" s="306">
        <v>3</v>
      </c>
      <c r="M54" s="417" t="s">
        <v>969</v>
      </c>
      <c r="N54" s="319"/>
      <c r="O54" s="308"/>
      <c r="P54" s="453"/>
      <c r="Q54" s="476"/>
      <c r="R54" s="1011"/>
      <c r="S54" s="647"/>
      <c r="T54" s="552" t="str">
        <f t="shared" si="3"/>
        <v/>
      </c>
      <c r="U54" s="536">
        <f t="shared" si="5"/>
        <v>0</v>
      </c>
      <c r="V54" s="895"/>
      <c r="W54" s="609"/>
      <c r="X54" s="889"/>
      <c r="Y54" s="470"/>
      <c r="Z54" s="880"/>
    </row>
    <row r="55" spans="1:26" ht="14.5" thickBot="1">
      <c r="A55" s="24"/>
      <c r="B55" s="280"/>
      <c r="C55" s="297"/>
      <c r="D55" s="298"/>
      <c r="E55" s="281"/>
      <c r="F55" s="449"/>
      <c r="G55" s="282"/>
      <c r="H55" s="700"/>
      <c r="I55" s="270"/>
      <c r="J55" s="270"/>
      <c r="K55" s="24"/>
      <c r="L55" s="280"/>
      <c r="M55" s="297"/>
      <c r="N55" s="298"/>
      <c r="O55" s="281"/>
      <c r="P55" s="449"/>
      <c r="Q55" s="479"/>
      <c r="R55" s="1010"/>
      <c r="S55" s="652"/>
      <c r="T55" s="553" t="str">
        <f t="shared" si="3"/>
        <v/>
      </c>
      <c r="U55" s="541"/>
      <c r="V55" s="521"/>
      <c r="W55" s="610"/>
      <c r="X55" s="340"/>
      <c r="Y55" s="508"/>
      <c r="Z55" s="270"/>
    </row>
    <row r="56" spans="1:26" ht="14.25" customHeight="1">
      <c r="B56" s="283">
        <v>4</v>
      </c>
      <c r="C56" s="284" t="s">
        <v>985</v>
      </c>
      <c r="D56" s="284" t="s">
        <v>986</v>
      </c>
      <c r="E56" s="355">
        <v>334565</v>
      </c>
      <c r="F56" s="450">
        <v>14</v>
      </c>
      <c r="G56" s="286">
        <f>E56*F56</f>
        <v>4683910</v>
      </c>
      <c r="H56" s="697">
        <v>46066</v>
      </c>
      <c r="I56" s="881">
        <f>SUM(G56:G79)</f>
        <v>8517278.4000000004</v>
      </c>
      <c r="J56" s="881">
        <v>9012993.0158730205</v>
      </c>
      <c r="K56" s="287"/>
      <c r="L56" s="283">
        <v>4</v>
      </c>
      <c r="M56" s="418" t="s">
        <v>987</v>
      </c>
      <c r="N56" s="284" t="s">
        <v>988</v>
      </c>
      <c r="O56" s="584">
        <v>296000</v>
      </c>
      <c r="P56" s="450">
        <v>14</v>
      </c>
      <c r="Q56" s="286">
        <f>O56*P56*10%</f>
        <v>414400</v>
      </c>
      <c r="R56" s="1012"/>
      <c r="S56" s="649"/>
      <c r="T56" s="554">
        <f t="shared" si="3"/>
        <v>46173</v>
      </c>
      <c r="U56" s="538">
        <f t="shared" ref="U56:U79" si="6">(Q56/$X$56*$J$56)</f>
        <v>384519.98853227677</v>
      </c>
      <c r="V56" s="920">
        <f>J56-SUM(U56:U79)</f>
        <v>0</v>
      </c>
      <c r="W56" s="611">
        <v>46173</v>
      </c>
      <c r="X56" s="905">
        <f>SUM(Q56:Q79)</f>
        <v>9713368.4000000004</v>
      </c>
      <c r="Y56" s="509"/>
      <c r="Z56" s="881">
        <f>I56-X56</f>
        <v>-1196090</v>
      </c>
    </row>
    <row r="57" spans="1:26" ht="14.25" customHeight="1">
      <c r="B57" s="310">
        <v>4</v>
      </c>
      <c r="C57" s="401"/>
      <c r="D57" s="401" t="s">
        <v>989</v>
      </c>
      <c r="E57" s="386"/>
      <c r="F57" s="446"/>
      <c r="G57" s="290">
        <v>3833368.4</v>
      </c>
      <c r="H57" s="702">
        <v>46080</v>
      </c>
      <c r="I57" s="882"/>
      <c r="J57" s="882"/>
      <c r="K57" s="291"/>
      <c r="L57" s="288">
        <v>4</v>
      </c>
      <c r="M57" s="419" t="s">
        <v>987</v>
      </c>
      <c r="N57" s="401" t="s">
        <v>990</v>
      </c>
      <c r="O57" s="585"/>
      <c r="P57" s="446"/>
      <c r="Q57" s="290">
        <f>O56*P56*90%</f>
        <v>3729600</v>
      </c>
      <c r="R57" s="1008"/>
      <c r="S57" s="650"/>
      <c r="T57" s="555">
        <f t="shared" si="3"/>
        <v>46234</v>
      </c>
      <c r="U57" s="539">
        <f t="shared" si="6"/>
        <v>3460679.896790491</v>
      </c>
      <c r="V57" s="921"/>
      <c r="W57" s="612">
        <f>'Project Plan'!K159-14+14</f>
        <v>46231</v>
      </c>
      <c r="X57" s="906"/>
      <c r="Y57" s="512"/>
      <c r="Z57" s="882"/>
    </row>
    <row r="58" spans="1:26" ht="14.25" customHeight="1">
      <c r="B58" s="310">
        <v>4</v>
      </c>
      <c r="C58" s="401"/>
      <c r="D58" s="401"/>
      <c r="E58" s="386"/>
      <c r="F58" s="446"/>
      <c r="G58" s="290"/>
      <c r="H58" s="702"/>
      <c r="I58" s="882"/>
      <c r="J58" s="882"/>
      <c r="K58" s="291"/>
      <c r="L58" s="288">
        <v>4</v>
      </c>
      <c r="M58" s="419" t="s">
        <v>987</v>
      </c>
      <c r="N58" s="401"/>
      <c r="O58" s="585"/>
      <c r="P58" s="446"/>
      <c r="Q58" s="290"/>
      <c r="R58" s="1008"/>
      <c r="S58" s="650"/>
      <c r="T58" s="555" t="str">
        <f t="shared" si="3"/>
        <v/>
      </c>
      <c r="U58" s="539">
        <f t="shared" si="6"/>
        <v>0</v>
      </c>
      <c r="V58" s="921"/>
      <c r="W58" s="612"/>
      <c r="X58" s="906"/>
      <c r="Y58" s="512"/>
      <c r="Z58" s="882"/>
    </row>
    <row r="59" spans="1:26" ht="14.25" customHeight="1">
      <c r="B59" s="310">
        <v>4</v>
      </c>
      <c r="C59" s="401"/>
      <c r="D59" s="401"/>
      <c r="E59" s="386"/>
      <c r="F59" s="446"/>
      <c r="G59" s="290"/>
      <c r="H59" s="702"/>
      <c r="I59" s="882"/>
      <c r="J59" s="882"/>
      <c r="K59" s="291"/>
      <c r="L59" s="288">
        <v>4</v>
      </c>
      <c r="M59" s="419" t="s">
        <v>987</v>
      </c>
      <c r="N59" s="401" t="s">
        <v>991</v>
      </c>
      <c r="O59" s="585">
        <v>118000</v>
      </c>
      <c r="P59" s="446">
        <v>14</v>
      </c>
      <c r="Q59" s="290">
        <f>O59*P59*10%</f>
        <v>165200</v>
      </c>
      <c r="R59" s="1008"/>
      <c r="S59" s="650"/>
      <c r="T59" s="555">
        <f t="shared" si="3"/>
        <v>46173</v>
      </c>
      <c r="U59" s="539">
        <f t="shared" si="6"/>
        <v>153288.37380678602</v>
      </c>
      <c r="V59" s="921"/>
      <c r="W59" s="612">
        <f>W56</f>
        <v>46173</v>
      </c>
      <c r="X59" s="906"/>
      <c r="Y59" s="512"/>
      <c r="Z59" s="882"/>
    </row>
    <row r="60" spans="1:26" ht="14.25" customHeight="1">
      <c r="B60" s="310">
        <v>4</v>
      </c>
      <c r="C60" s="401"/>
      <c r="D60" s="401"/>
      <c r="E60" s="386"/>
      <c r="F60" s="446"/>
      <c r="G60" s="290"/>
      <c r="H60" s="702"/>
      <c r="I60" s="882"/>
      <c r="J60" s="882"/>
      <c r="K60" s="291"/>
      <c r="L60" s="288">
        <v>4</v>
      </c>
      <c r="M60" s="419" t="s">
        <v>987</v>
      </c>
      <c r="N60" s="401" t="s">
        <v>992</v>
      </c>
      <c r="O60" s="576"/>
      <c r="P60" s="446"/>
      <c r="Q60" s="290">
        <f>O59*P59*90%</f>
        <v>1486800</v>
      </c>
      <c r="R60" s="1008"/>
      <c r="S60" s="650"/>
      <c r="T60" s="555">
        <f t="shared" ref="T60:T135" si="7">IF(W60&gt;1,EOMONTH(W60,0),"")</f>
        <v>46234</v>
      </c>
      <c r="U60" s="539">
        <f t="shared" si="6"/>
        <v>1379595.3642610742</v>
      </c>
      <c r="V60" s="921"/>
      <c r="W60" s="612">
        <f>W57</f>
        <v>46231</v>
      </c>
      <c r="X60" s="906"/>
      <c r="Y60" s="512"/>
      <c r="Z60" s="882"/>
    </row>
    <row r="61" spans="1:26" ht="14.25" customHeight="1">
      <c r="B61" s="310">
        <v>4</v>
      </c>
      <c r="C61" s="401"/>
      <c r="D61" s="401"/>
      <c r="E61" s="386"/>
      <c r="F61" s="446"/>
      <c r="G61" s="290"/>
      <c r="H61" s="702"/>
      <c r="I61" s="882"/>
      <c r="J61" s="882"/>
      <c r="K61" s="291"/>
      <c r="L61" s="288">
        <v>4</v>
      </c>
      <c r="M61" s="419" t="s">
        <v>987</v>
      </c>
      <c r="N61" s="401"/>
      <c r="O61" s="576"/>
      <c r="P61" s="446"/>
      <c r="Q61" s="290"/>
      <c r="R61" s="1008"/>
      <c r="S61" s="650"/>
      <c r="T61" s="555" t="str">
        <f t="shared" si="7"/>
        <v/>
      </c>
      <c r="U61" s="539">
        <f t="shared" si="6"/>
        <v>0</v>
      </c>
      <c r="V61" s="921"/>
      <c r="W61" s="612"/>
      <c r="X61" s="906"/>
      <c r="Y61" s="512"/>
      <c r="Z61" s="882"/>
    </row>
    <row r="62" spans="1:26" ht="14.25" customHeight="1">
      <c r="B62" s="310">
        <v>4</v>
      </c>
      <c r="C62" s="401"/>
      <c r="D62" s="401"/>
      <c r="E62" s="386"/>
      <c r="F62" s="446"/>
      <c r="G62" s="290"/>
      <c r="H62" s="702"/>
      <c r="I62" s="882"/>
      <c r="J62" s="882"/>
      <c r="K62" s="291"/>
      <c r="L62" s="288">
        <v>4</v>
      </c>
      <c r="M62" s="419" t="s">
        <v>987</v>
      </c>
      <c r="N62" s="401" t="s">
        <v>993</v>
      </c>
      <c r="O62" s="585">
        <v>6000</v>
      </c>
      <c r="P62" s="446">
        <v>14</v>
      </c>
      <c r="Q62" s="290">
        <f>O62*P62*10%</f>
        <v>8400</v>
      </c>
      <c r="R62" s="1008"/>
      <c r="S62" s="650"/>
      <c r="T62" s="555">
        <f t="shared" si="7"/>
        <v>46173</v>
      </c>
      <c r="U62" s="539">
        <f t="shared" si="6"/>
        <v>7794.324091870476</v>
      </c>
      <c r="V62" s="921"/>
      <c r="W62" s="612">
        <f>W56</f>
        <v>46173</v>
      </c>
      <c r="X62" s="906"/>
      <c r="Y62" s="512"/>
      <c r="Z62" s="882"/>
    </row>
    <row r="63" spans="1:26" ht="14.25" customHeight="1">
      <c r="B63" s="310">
        <v>4</v>
      </c>
      <c r="C63" s="401"/>
      <c r="D63" s="401"/>
      <c r="E63" s="386"/>
      <c r="F63" s="446"/>
      <c r="G63" s="290"/>
      <c r="H63" s="702"/>
      <c r="I63" s="882"/>
      <c r="J63" s="882"/>
      <c r="K63" s="291"/>
      <c r="L63" s="288">
        <v>4</v>
      </c>
      <c r="M63" s="419" t="s">
        <v>987</v>
      </c>
      <c r="N63" s="401" t="s">
        <v>994</v>
      </c>
      <c r="O63" s="576"/>
      <c r="P63" s="446"/>
      <c r="Q63" s="290">
        <f>O62*P62*90%</f>
        <v>75600</v>
      </c>
      <c r="R63" s="1008"/>
      <c r="S63" s="650"/>
      <c r="T63" s="555">
        <f t="shared" si="7"/>
        <v>46234</v>
      </c>
      <c r="U63" s="539">
        <f t="shared" si="6"/>
        <v>70148.916826834276</v>
      </c>
      <c r="V63" s="921"/>
      <c r="W63" s="612">
        <f>W57</f>
        <v>46231</v>
      </c>
      <c r="X63" s="906"/>
      <c r="Y63" s="512"/>
      <c r="Z63" s="882"/>
    </row>
    <row r="64" spans="1:26" ht="14.25" customHeight="1">
      <c r="B64" s="310">
        <v>4</v>
      </c>
      <c r="C64" s="401"/>
      <c r="D64" s="401"/>
      <c r="E64" s="386"/>
      <c r="F64" s="446"/>
      <c r="G64" s="290"/>
      <c r="H64" s="702"/>
      <c r="I64" s="882"/>
      <c r="J64" s="882"/>
      <c r="K64" s="291"/>
      <c r="L64" s="288">
        <v>4</v>
      </c>
      <c r="M64" s="419" t="s">
        <v>987</v>
      </c>
      <c r="N64" s="401"/>
      <c r="O64" s="576"/>
      <c r="P64" s="446"/>
      <c r="Q64" s="290"/>
      <c r="R64" s="1008"/>
      <c r="S64" s="650"/>
      <c r="T64" s="555" t="str">
        <f t="shared" si="7"/>
        <v/>
      </c>
      <c r="U64" s="539">
        <f t="shared" si="6"/>
        <v>0</v>
      </c>
      <c r="V64" s="921"/>
      <c r="W64" s="612"/>
      <c r="X64" s="906"/>
      <c r="Y64" s="512"/>
      <c r="Z64" s="882"/>
    </row>
    <row r="65" spans="1:26" ht="14.25" customHeight="1">
      <c r="B65" s="310">
        <v>4</v>
      </c>
      <c r="C65" s="401"/>
      <c r="D65" s="401"/>
      <c r="E65" s="386"/>
      <c r="F65" s="446"/>
      <c r="G65" s="290"/>
      <c r="H65" s="702"/>
      <c r="I65" s="882"/>
      <c r="J65" s="882"/>
      <c r="K65" s="291"/>
      <c r="L65" s="288">
        <v>4</v>
      </c>
      <c r="M65" s="419" t="s">
        <v>987</v>
      </c>
      <c r="N65" s="401" t="s">
        <v>995</v>
      </c>
      <c r="O65" s="634">
        <v>0.5</v>
      </c>
      <c r="P65" s="446">
        <v>633272.9</v>
      </c>
      <c r="Q65" s="290">
        <f>O65*$P$65</f>
        <v>316636.45</v>
      </c>
      <c r="R65" s="1008"/>
      <c r="S65" s="650"/>
      <c r="T65" s="555">
        <f t="shared" si="7"/>
        <v>46173</v>
      </c>
      <c r="U65" s="539">
        <f t="shared" si="6"/>
        <v>293805.60840468347</v>
      </c>
      <c r="V65" s="921"/>
      <c r="W65" s="612">
        <f>W56</f>
        <v>46173</v>
      </c>
      <c r="X65" s="906"/>
      <c r="Y65" s="512"/>
      <c r="Z65" s="882"/>
    </row>
    <row r="66" spans="1:26" ht="14.25" customHeight="1">
      <c r="B66" s="310">
        <v>4</v>
      </c>
      <c r="C66" s="401"/>
      <c r="D66" s="401"/>
      <c r="E66" s="386"/>
      <c r="F66" s="446"/>
      <c r="G66" s="290"/>
      <c r="H66" s="702"/>
      <c r="I66" s="882"/>
      <c r="J66" s="882"/>
      <c r="K66" s="291"/>
      <c r="L66" s="288">
        <v>4</v>
      </c>
      <c r="M66" s="419" t="s">
        <v>987</v>
      </c>
      <c r="N66" s="401" t="s">
        <v>996</v>
      </c>
      <c r="O66" s="634">
        <v>0.5</v>
      </c>
      <c r="P66" s="446"/>
      <c r="Q66" s="290">
        <f>O66*$P$65</f>
        <v>316636.45</v>
      </c>
      <c r="R66" s="1008"/>
      <c r="S66" s="650"/>
      <c r="T66" s="555">
        <f t="shared" si="7"/>
        <v>46203</v>
      </c>
      <c r="U66" s="539">
        <f t="shared" si="6"/>
        <v>293805.60840468347</v>
      </c>
      <c r="V66" s="921"/>
      <c r="W66" s="612">
        <f>W72</f>
        <v>46191</v>
      </c>
      <c r="X66" s="906"/>
      <c r="Y66" s="512"/>
      <c r="Z66" s="882"/>
    </row>
    <row r="67" spans="1:26" ht="14.25" customHeight="1">
      <c r="B67" s="310"/>
      <c r="C67" s="401"/>
      <c r="D67" s="401"/>
      <c r="E67" s="386"/>
      <c r="F67" s="446"/>
      <c r="G67" s="290"/>
      <c r="H67" s="702"/>
      <c r="I67" s="882"/>
      <c r="J67" s="882"/>
      <c r="K67" s="291"/>
      <c r="L67" s="288">
        <v>4</v>
      </c>
      <c r="M67" s="419" t="s">
        <v>987</v>
      </c>
      <c r="N67" s="401"/>
      <c r="O67" s="634"/>
      <c r="P67" s="446"/>
      <c r="Q67" s="290"/>
      <c r="R67" s="1008"/>
      <c r="S67" s="650"/>
      <c r="T67" s="555" t="str">
        <f t="shared" si="7"/>
        <v/>
      </c>
      <c r="U67" s="539">
        <f t="shared" si="6"/>
        <v>0</v>
      </c>
      <c r="V67" s="921"/>
      <c r="W67" s="612"/>
      <c r="X67" s="906"/>
      <c r="Y67" s="512"/>
      <c r="Z67" s="882"/>
    </row>
    <row r="68" spans="1:26" ht="14.25" customHeight="1">
      <c r="B68" s="310"/>
      <c r="C68" s="401"/>
      <c r="D68" s="401"/>
      <c r="E68" s="386"/>
      <c r="F68" s="446"/>
      <c r="G68" s="290"/>
      <c r="H68" s="702"/>
      <c r="I68" s="882"/>
      <c r="J68" s="882"/>
      <c r="K68" s="291"/>
      <c r="L68" s="288">
        <v>4</v>
      </c>
      <c r="M68" s="419" t="s">
        <v>987</v>
      </c>
      <c r="N68" s="401" t="s">
        <v>997</v>
      </c>
      <c r="O68" s="634">
        <v>0.5</v>
      </c>
      <c r="P68" s="446">
        <v>300000</v>
      </c>
      <c r="Q68" s="290">
        <f>O68*$P$68</f>
        <v>150000</v>
      </c>
      <c r="R68" s="1008"/>
      <c r="S68" s="650"/>
      <c r="T68" s="555">
        <f t="shared" si="7"/>
        <v>46630</v>
      </c>
      <c r="U68" s="539">
        <f t="shared" si="6"/>
        <v>139184.35878340135</v>
      </c>
      <c r="V68" s="921"/>
      <c r="W68" s="612">
        <f>W214</f>
        <v>46630</v>
      </c>
      <c r="X68" s="906"/>
      <c r="Y68" s="512"/>
      <c r="Z68" s="882"/>
    </row>
    <row r="69" spans="1:26" ht="14.25" customHeight="1">
      <c r="B69" s="310"/>
      <c r="C69" s="401"/>
      <c r="D69" s="401"/>
      <c r="E69" s="386"/>
      <c r="F69" s="446"/>
      <c r="G69" s="290"/>
      <c r="H69" s="702"/>
      <c r="I69" s="882"/>
      <c r="J69" s="882"/>
      <c r="K69" s="291"/>
      <c r="L69" s="288">
        <v>4</v>
      </c>
      <c r="M69" s="419" t="s">
        <v>987</v>
      </c>
      <c r="N69" s="401" t="s">
        <v>998</v>
      </c>
      <c r="O69" s="634">
        <v>0.5</v>
      </c>
      <c r="P69" s="446"/>
      <c r="Q69" s="290">
        <f>O69*$P$68</f>
        <v>150000</v>
      </c>
      <c r="R69" s="1008"/>
      <c r="S69" s="650"/>
      <c r="T69" s="555">
        <f t="shared" si="7"/>
        <v>46265</v>
      </c>
      <c r="U69" s="539">
        <f t="shared" si="6"/>
        <v>139184.35878340135</v>
      </c>
      <c r="V69" s="921"/>
      <c r="W69" s="612">
        <f>'Project Plan'!K159+14</f>
        <v>46245</v>
      </c>
      <c r="X69" s="906"/>
      <c r="Y69" s="512"/>
      <c r="Z69" s="882"/>
    </row>
    <row r="70" spans="1:26" ht="14.25" customHeight="1">
      <c r="B70" s="310">
        <v>4</v>
      </c>
      <c r="C70" s="401"/>
      <c r="D70" s="401"/>
      <c r="E70" s="386"/>
      <c r="F70" s="446"/>
      <c r="G70" s="290"/>
      <c r="H70" s="702"/>
      <c r="I70" s="882"/>
      <c r="J70" s="882"/>
      <c r="K70" s="291"/>
      <c r="L70" s="288">
        <v>4</v>
      </c>
      <c r="M70" s="419" t="s">
        <v>987</v>
      </c>
      <c r="N70" s="401"/>
      <c r="O70" s="576"/>
      <c r="P70" s="446"/>
      <c r="Q70" s="290"/>
      <c r="R70" s="1008"/>
      <c r="S70" s="650"/>
      <c r="T70" s="555" t="str">
        <f t="shared" si="7"/>
        <v/>
      </c>
      <c r="U70" s="539">
        <f t="shared" si="6"/>
        <v>0</v>
      </c>
      <c r="V70" s="921"/>
      <c r="W70" s="612"/>
      <c r="X70" s="906"/>
      <c r="Y70" s="512"/>
      <c r="Z70" s="882"/>
    </row>
    <row r="71" spans="1:26" ht="14.25" customHeight="1">
      <c r="B71" s="310">
        <v>4</v>
      </c>
      <c r="C71" s="401"/>
      <c r="D71" s="401"/>
      <c r="E71" s="386"/>
      <c r="F71" s="446"/>
      <c r="G71" s="290"/>
      <c r="H71" s="702"/>
      <c r="I71" s="882"/>
      <c r="J71" s="882"/>
      <c r="K71" s="291"/>
      <c r="L71" s="288">
        <v>4</v>
      </c>
      <c r="M71" s="419" t="s">
        <v>987</v>
      </c>
      <c r="N71" s="401" t="s">
        <v>999</v>
      </c>
      <c r="O71" s="634">
        <v>0.5</v>
      </c>
      <c r="P71" s="446">
        <v>500000</v>
      </c>
      <c r="Q71" s="290">
        <f>O71*$P$71</f>
        <v>250000</v>
      </c>
      <c r="R71" s="1008"/>
      <c r="S71" s="650"/>
      <c r="T71" s="555" t="e">
        <f t="shared" si="7"/>
        <v>#REF!</v>
      </c>
      <c r="U71" s="539">
        <f t="shared" si="6"/>
        <v>231973.9313056689</v>
      </c>
      <c r="V71" s="921"/>
      <c r="W71" s="612" t="e">
        <f>#REF!</f>
        <v>#REF!</v>
      </c>
      <c r="X71" s="906"/>
      <c r="Y71" s="512"/>
      <c r="Z71" s="882"/>
    </row>
    <row r="72" spans="1:26" ht="14.25" customHeight="1">
      <c r="B72" s="310">
        <v>4</v>
      </c>
      <c r="C72" s="401"/>
      <c r="D72" s="401"/>
      <c r="E72" s="386"/>
      <c r="F72" s="446"/>
      <c r="G72" s="290"/>
      <c r="H72" s="702"/>
      <c r="I72" s="882"/>
      <c r="J72" s="882"/>
      <c r="K72" s="291"/>
      <c r="L72" s="288">
        <v>4</v>
      </c>
      <c r="M72" s="419" t="s">
        <v>987</v>
      </c>
      <c r="N72" s="401" t="s">
        <v>1000</v>
      </c>
      <c r="O72" s="634">
        <v>0.5</v>
      </c>
      <c r="P72" s="446"/>
      <c r="Q72" s="290">
        <f>O72*$P$71</f>
        <v>250000</v>
      </c>
      <c r="R72" s="1008"/>
      <c r="S72" s="650"/>
      <c r="T72" s="555">
        <f t="shared" si="7"/>
        <v>46203</v>
      </c>
      <c r="U72" s="539">
        <f t="shared" si="6"/>
        <v>231973.9313056689</v>
      </c>
      <c r="V72" s="921"/>
      <c r="W72" s="612">
        <f>'Project Plan'!K167</f>
        <v>46191</v>
      </c>
      <c r="X72" s="906"/>
      <c r="Y72" s="512"/>
      <c r="Z72" s="882"/>
    </row>
    <row r="73" spans="1:26" ht="14.25" customHeight="1">
      <c r="B73" s="310">
        <v>4</v>
      </c>
      <c r="C73" s="401"/>
      <c r="D73" s="401"/>
      <c r="E73" s="386"/>
      <c r="F73" s="446"/>
      <c r="G73" s="290"/>
      <c r="H73" s="702"/>
      <c r="I73" s="882"/>
      <c r="J73" s="882"/>
      <c r="K73" s="291"/>
      <c r="L73" s="288">
        <v>4</v>
      </c>
      <c r="M73" s="419" t="s">
        <v>987</v>
      </c>
      <c r="N73" s="401"/>
      <c r="O73" s="576"/>
      <c r="P73" s="446"/>
      <c r="Q73" s="290"/>
      <c r="R73" s="1008"/>
      <c r="S73" s="650"/>
      <c r="T73" s="555" t="str">
        <f t="shared" si="7"/>
        <v/>
      </c>
      <c r="U73" s="539">
        <f>(Q73/$X$56*$J$56)</f>
        <v>0</v>
      </c>
      <c r="V73" s="921"/>
      <c r="W73" s="612"/>
      <c r="X73" s="906"/>
      <c r="Y73" s="512"/>
      <c r="Z73" s="882"/>
    </row>
    <row r="74" spans="1:26" ht="14.25" customHeight="1">
      <c r="B74" s="310">
        <v>4</v>
      </c>
      <c r="C74" s="401"/>
      <c r="D74" s="401"/>
      <c r="E74" s="386"/>
      <c r="F74" s="446"/>
      <c r="G74" s="290"/>
      <c r="H74" s="702"/>
      <c r="I74" s="882"/>
      <c r="J74" s="882"/>
      <c r="K74" s="291"/>
      <c r="L74" s="288">
        <v>4</v>
      </c>
      <c r="M74" s="419" t="s">
        <v>987</v>
      </c>
      <c r="N74" s="401" t="s">
        <v>1001</v>
      </c>
      <c r="O74" s="634">
        <v>0.5</v>
      </c>
      <c r="P74" s="446">
        <v>2400095.5</v>
      </c>
      <c r="Q74" s="290">
        <f>O74*$P$74</f>
        <v>1200047.75</v>
      </c>
      <c r="R74" s="1008"/>
      <c r="S74" s="650"/>
      <c r="T74" s="555" t="e">
        <f t="shared" si="7"/>
        <v>#REF!</v>
      </c>
      <c r="U74" s="539">
        <f>(Q74/$X$56*$J$56)</f>
        <v>1113519.1772880901</v>
      </c>
      <c r="V74" s="921"/>
      <c r="W74" s="612" t="e">
        <f>#REF!</f>
        <v>#REF!</v>
      </c>
      <c r="X74" s="906"/>
      <c r="Y74" s="512"/>
      <c r="Z74" s="882"/>
    </row>
    <row r="75" spans="1:26" ht="14.25" customHeight="1">
      <c r="B75" s="310">
        <v>4</v>
      </c>
      <c r="C75" s="401"/>
      <c r="D75" s="401"/>
      <c r="E75" s="386"/>
      <c r="F75" s="446"/>
      <c r="G75" s="290"/>
      <c r="H75" s="702"/>
      <c r="I75" s="882"/>
      <c r="J75" s="882"/>
      <c r="K75" s="291"/>
      <c r="L75" s="288">
        <v>4</v>
      </c>
      <c r="M75" s="419" t="s">
        <v>987</v>
      </c>
      <c r="N75" s="401" t="s">
        <v>1002</v>
      </c>
      <c r="O75" s="634">
        <v>0.5</v>
      </c>
      <c r="P75" s="446"/>
      <c r="Q75" s="290">
        <f>O75*$P$74</f>
        <v>1200047.75</v>
      </c>
      <c r="R75" s="1008"/>
      <c r="S75" s="650"/>
      <c r="T75" s="555">
        <f t="shared" si="7"/>
        <v>46203</v>
      </c>
      <c r="U75" s="539">
        <f>(Q75/$X$56*$J$56)</f>
        <v>1113519.1772880901</v>
      </c>
      <c r="V75" s="921"/>
      <c r="W75" s="612">
        <f>'Project Plan'!K202+14</f>
        <v>46197</v>
      </c>
      <c r="X75" s="906"/>
      <c r="Y75" s="512"/>
      <c r="Z75" s="882"/>
    </row>
    <row r="76" spans="1:26" ht="14.25" customHeight="1">
      <c r="B76" s="310">
        <v>4</v>
      </c>
      <c r="C76" s="401"/>
      <c r="D76" s="401"/>
      <c r="E76" s="386"/>
      <c r="F76" s="446"/>
      <c r="G76" s="290"/>
      <c r="H76" s="702"/>
      <c r="I76" s="882"/>
      <c r="J76" s="882"/>
      <c r="K76" s="291"/>
      <c r="L76" s="288">
        <v>4</v>
      </c>
      <c r="M76" s="419" t="s">
        <v>987</v>
      </c>
      <c r="N76" s="401"/>
      <c r="O76" s="386"/>
      <c r="P76" s="446"/>
      <c r="Q76" s="290"/>
      <c r="R76" s="1008"/>
      <c r="S76" s="650"/>
      <c r="T76" s="555" t="str">
        <f t="shared" si="7"/>
        <v/>
      </c>
      <c r="U76" s="539">
        <f>(Q76/$X$56*$J$56)</f>
        <v>0</v>
      </c>
      <c r="V76" s="921"/>
      <c r="W76" s="612"/>
      <c r="X76" s="906"/>
      <c r="Y76" s="512"/>
      <c r="Z76" s="882"/>
    </row>
    <row r="77" spans="1:26" ht="14.25" customHeight="1">
      <c r="B77" s="310">
        <v>4</v>
      </c>
      <c r="C77" s="401"/>
      <c r="D77" s="401"/>
      <c r="E77" s="386"/>
      <c r="F77" s="446"/>
      <c r="G77" s="290"/>
      <c r="H77" s="702"/>
      <c r="I77" s="882"/>
      <c r="J77" s="882"/>
      <c r="K77" s="291"/>
      <c r="L77" s="288">
        <v>4</v>
      </c>
      <c r="M77" s="419" t="s">
        <v>987</v>
      </c>
      <c r="N77" s="401"/>
      <c r="O77" s="386"/>
      <c r="P77" s="446"/>
      <c r="Q77" s="481"/>
      <c r="R77" s="1008"/>
      <c r="S77" s="650"/>
      <c r="T77" s="555" t="str">
        <f t="shared" si="7"/>
        <v/>
      </c>
      <c r="U77" s="539">
        <f t="shared" si="6"/>
        <v>0</v>
      </c>
      <c r="V77" s="921"/>
      <c r="W77" s="612"/>
      <c r="X77" s="906"/>
      <c r="Y77" s="512"/>
      <c r="Z77" s="882"/>
    </row>
    <row r="78" spans="1:26" ht="14.25" customHeight="1">
      <c r="B78" s="310">
        <v>4</v>
      </c>
      <c r="C78" s="401"/>
      <c r="D78" s="401"/>
      <c r="E78" s="386"/>
      <c r="F78" s="446"/>
      <c r="G78" s="290"/>
      <c r="H78" s="702"/>
      <c r="I78" s="882"/>
      <c r="J78" s="882"/>
      <c r="K78" s="291"/>
      <c r="L78" s="288">
        <v>4</v>
      </c>
      <c r="M78" s="419" t="s">
        <v>987</v>
      </c>
      <c r="N78" s="401"/>
      <c r="O78" s="386"/>
      <c r="P78" s="446"/>
      <c r="Q78" s="481"/>
      <c r="R78" s="1008"/>
      <c r="S78" s="650"/>
      <c r="T78" s="555" t="str">
        <f t="shared" si="7"/>
        <v/>
      </c>
      <c r="U78" s="539">
        <f t="shared" si="6"/>
        <v>0</v>
      </c>
      <c r="V78" s="921"/>
      <c r="W78" s="612"/>
      <c r="X78" s="906"/>
      <c r="Y78" s="512"/>
      <c r="Z78" s="882"/>
    </row>
    <row r="79" spans="1:26" ht="15" customHeight="1" thickBot="1">
      <c r="B79" s="292">
        <v>4</v>
      </c>
      <c r="C79" s="315"/>
      <c r="D79" s="315"/>
      <c r="E79" s="389"/>
      <c r="F79" s="448"/>
      <c r="G79" s="295"/>
      <c r="H79" s="703"/>
      <c r="I79" s="883"/>
      <c r="J79" s="883"/>
      <c r="K79" s="296"/>
      <c r="L79" s="292">
        <v>4</v>
      </c>
      <c r="M79" s="420" t="s">
        <v>987</v>
      </c>
      <c r="N79" s="315"/>
      <c r="O79" s="389"/>
      <c r="P79" s="448"/>
      <c r="Q79" s="482"/>
      <c r="R79" s="1009"/>
      <c r="S79" s="651"/>
      <c r="T79" s="556" t="str">
        <f t="shared" si="7"/>
        <v/>
      </c>
      <c r="U79" s="540">
        <f t="shared" si="6"/>
        <v>0</v>
      </c>
      <c r="V79" s="922"/>
      <c r="W79" s="613"/>
      <c r="X79" s="907"/>
      <c r="Y79" s="510"/>
      <c r="Z79" s="883"/>
    </row>
    <row r="80" spans="1:26" ht="14.5" thickBot="1">
      <c r="A80" s="24"/>
      <c r="B80" s="266"/>
      <c r="C80" s="267"/>
      <c r="D80" s="298"/>
      <c r="E80" s="281"/>
      <c r="F80" s="449"/>
      <c r="G80" s="282"/>
      <c r="H80" s="700"/>
      <c r="I80" s="270"/>
      <c r="J80" s="270"/>
      <c r="K80" s="24"/>
      <c r="L80" s="266"/>
      <c r="M80" s="267"/>
      <c r="N80" s="267"/>
      <c r="O80" s="281"/>
      <c r="P80" s="449"/>
      <c r="Q80" s="483"/>
      <c r="R80" s="1013"/>
      <c r="S80" s="654"/>
      <c r="T80" s="553" t="str">
        <f t="shared" si="7"/>
        <v/>
      </c>
      <c r="U80" s="543"/>
      <c r="V80" s="524"/>
      <c r="W80" s="610"/>
      <c r="X80" s="340"/>
      <c r="Y80" s="508"/>
      <c r="Z80" s="270"/>
    </row>
    <row r="81" spans="1:26" ht="14.25" customHeight="1">
      <c r="B81" s="271">
        <v>5</v>
      </c>
      <c r="C81" s="299" t="s">
        <v>1003</v>
      </c>
      <c r="D81" s="317" t="s">
        <v>1004</v>
      </c>
      <c r="E81" s="273">
        <v>1</v>
      </c>
      <c r="F81" s="430">
        <v>500000</v>
      </c>
      <c r="G81" s="274">
        <f>E81*F81</f>
        <v>500000</v>
      </c>
      <c r="H81" s="701">
        <v>45869</v>
      </c>
      <c r="I81" s="878">
        <f>SUM(G81:G95)</f>
        <v>3974000</v>
      </c>
      <c r="J81" s="878">
        <v>4205291.0052910103</v>
      </c>
      <c r="K81" s="275"/>
      <c r="L81" s="271">
        <v>5</v>
      </c>
      <c r="M81" s="415" t="s">
        <v>1005</v>
      </c>
      <c r="N81" s="317" t="s">
        <v>1004</v>
      </c>
      <c r="O81" s="571">
        <v>1</v>
      </c>
      <c r="P81" s="430">
        <v>500000</v>
      </c>
      <c r="Q81" s="274">
        <f>O81*P81</f>
        <v>500000</v>
      </c>
      <c r="R81" s="873"/>
      <c r="S81" s="653"/>
      <c r="T81" s="557">
        <f t="shared" si="7"/>
        <v>46173</v>
      </c>
      <c r="U81" s="542">
        <f t="shared" ref="U81:U94" si="8">(Q81/$X$81*$J$81)</f>
        <v>580200.19388672884</v>
      </c>
      <c r="V81" s="893">
        <f>J81-SUM(U81:U95)</f>
        <v>0</v>
      </c>
      <c r="W81" s="614">
        <v>46173</v>
      </c>
      <c r="X81" s="887">
        <f>SUM(Q81:Q95)</f>
        <v>3624000</v>
      </c>
      <c r="Y81" s="511"/>
      <c r="Z81" s="878">
        <f>I81-X81</f>
        <v>350000</v>
      </c>
    </row>
    <row r="82" spans="1:26" ht="14.25" customHeight="1">
      <c r="B82" s="276">
        <v>5</v>
      </c>
      <c r="C82" s="300"/>
      <c r="D82" s="277" t="s">
        <v>1006</v>
      </c>
      <c r="E82" s="444">
        <v>2</v>
      </c>
      <c r="F82" s="445">
        <v>612000</v>
      </c>
      <c r="G82" s="305">
        <f>E82*F82</f>
        <v>1224000</v>
      </c>
      <c r="H82" s="693">
        <v>45869</v>
      </c>
      <c r="I82" s="879"/>
      <c r="J82" s="879"/>
      <c r="K82" s="278"/>
      <c r="L82" s="276">
        <v>5</v>
      </c>
      <c r="M82" s="421" t="s">
        <v>1005</v>
      </c>
      <c r="N82" s="277"/>
      <c r="O82" s="577"/>
      <c r="P82" s="445"/>
      <c r="Q82" s="305"/>
      <c r="R82" s="1004"/>
      <c r="S82" s="645"/>
      <c r="T82" s="550" t="str">
        <f t="shared" si="7"/>
        <v/>
      </c>
      <c r="U82" s="542">
        <f t="shared" si="8"/>
        <v>0</v>
      </c>
      <c r="V82" s="894"/>
      <c r="W82" s="607"/>
      <c r="X82" s="888"/>
      <c r="Y82" s="507"/>
      <c r="Z82" s="879"/>
    </row>
    <row r="83" spans="1:26" ht="14.25" customHeight="1">
      <c r="B83" s="276">
        <v>5</v>
      </c>
      <c r="C83" s="300"/>
      <c r="D83" s="303" t="s">
        <v>1007</v>
      </c>
      <c r="E83" s="304">
        <v>1</v>
      </c>
      <c r="F83" s="452">
        <v>1750000</v>
      </c>
      <c r="G83" s="305">
        <f>E83*F83</f>
        <v>1750000</v>
      </c>
      <c r="H83" s="693">
        <v>45869</v>
      </c>
      <c r="I83" s="879"/>
      <c r="J83" s="879"/>
      <c r="K83" s="278"/>
      <c r="L83" s="276">
        <v>5</v>
      </c>
      <c r="M83" s="421" t="s">
        <v>1005</v>
      </c>
      <c r="N83" s="303"/>
      <c r="O83" s="572"/>
      <c r="P83" s="452"/>
      <c r="Q83" s="305"/>
      <c r="R83" s="1004"/>
      <c r="S83" s="645"/>
      <c r="T83" s="550" t="str">
        <f t="shared" si="7"/>
        <v/>
      </c>
      <c r="U83" s="542">
        <f t="shared" si="8"/>
        <v>0</v>
      </c>
      <c r="V83" s="894"/>
      <c r="W83" s="607"/>
      <c r="X83" s="888"/>
      <c r="Y83" s="507"/>
      <c r="Z83" s="879"/>
    </row>
    <row r="84" spans="1:26" ht="14.25" customHeight="1">
      <c r="B84" s="301">
        <v>5</v>
      </c>
      <c r="C84" s="302"/>
      <c r="D84" s="303" t="s">
        <v>1008</v>
      </c>
      <c r="E84" s="304">
        <v>2</v>
      </c>
      <c r="F84" s="452">
        <v>250000</v>
      </c>
      <c r="G84" s="305">
        <f>E84*F84</f>
        <v>500000</v>
      </c>
      <c r="H84" s="693">
        <v>45869</v>
      </c>
      <c r="I84" s="879"/>
      <c r="J84" s="879"/>
      <c r="K84" s="278"/>
      <c r="L84" s="301">
        <v>5</v>
      </c>
      <c r="M84" s="421" t="s">
        <v>1005</v>
      </c>
      <c r="N84" s="303" t="s">
        <v>1009</v>
      </c>
      <c r="O84" s="572">
        <v>2</v>
      </c>
      <c r="P84" s="452">
        <v>612000</v>
      </c>
      <c r="Q84" s="305">
        <f>O84*P84</f>
        <v>1224000</v>
      </c>
      <c r="R84" s="1004"/>
      <c r="S84" s="645"/>
      <c r="T84" s="550">
        <f t="shared" si="7"/>
        <v>46173</v>
      </c>
      <c r="U84" s="542">
        <f t="shared" si="8"/>
        <v>1420330.0746347122</v>
      </c>
      <c r="V84" s="894"/>
      <c r="W84" s="607">
        <f>W81</f>
        <v>46173</v>
      </c>
      <c r="X84" s="888"/>
      <c r="Y84" s="507"/>
      <c r="Z84" s="879"/>
    </row>
    <row r="85" spans="1:26" ht="14.25" customHeight="1">
      <c r="B85" s="375">
        <v>5</v>
      </c>
      <c r="C85" s="376"/>
      <c r="D85" s="379"/>
      <c r="E85" s="399"/>
      <c r="F85" s="437"/>
      <c r="G85" s="378"/>
      <c r="H85" s="694"/>
      <c r="I85" s="879"/>
      <c r="J85" s="879"/>
      <c r="K85" s="278"/>
      <c r="L85" s="301">
        <v>5</v>
      </c>
      <c r="M85" s="421" t="s">
        <v>1005</v>
      </c>
      <c r="N85" s="379"/>
      <c r="O85" s="573"/>
      <c r="P85" s="437"/>
      <c r="Q85" s="378"/>
      <c r="R85" s="1003"/>
      <c r="S85" s="646"/>
      <c r="T85" s="551" t="str">
        <f t="shared" si="7"/>
        <v/>
      </c>
      <c r="U85" s="542">
        <f t="shared" si="8"/>
        <v>0</v>
      </c>
      <c r="V85" s="894"/>
      <c r="W85" s="608"/>
      <c r="X85" s="888"/>
      <c r="Y85" s="507"/>
      <c r="Z85" s="879"/>
    </row>
    <row r="86" spans="1:26" ht="14.25" customHeight="1">
      <c r="B86" s="375">
        <v>5</v>
      </c>
      <c r="C86" s="376"/>
      <c r="D86" s="379"/>
      <c r="E86" s="399"/>
      <c r="F86" s="437"/>
      <c r="G86" s="378"/>
      <c r="H86" s="694"/>
      <c r="I86" s="879"/>
      <c r="J86" s="879"/>
      <c r="K86" s="278"/>
      <c r="L86" s="301">
        <v>5</v>
      </c>
      <c r="M86" s="421" t="s">
        <v>1005</v>
      </c>
      <c r="N86" s="379"/>
      <c r="O86" s="573"/>
      <c r="P86" s="437"/>
      <c r="Q86" s="378"/>
      <c r="R86" s="1003"/>
      <c r="S86" s="646"/>
      <c r="T86" s="551" t="str">
        <f t="shared" si="7"/>
        <v/>
      </c>
      <c r="U86" s="542">
        <f t="shared" si="8"/>
        <v>0</v>
      </c>
      <c r="V86" s="894"/>
      <c r="W86" s="608"/>
      <c r="X86" s="888"/>
      <c r="Y86" s="507"/>
      <c r="Z86" s="879"/>
    </row>
    <row r="87" spans="1:26" ht="14.25" customHeight="1">
      <c r="B87" s="375">
        <v>5</v>
      </c>
      <c r="C87" s="376"/>
      <c r="D87" s="379"/>
      <c r="E87" s="399"/>
      <c r="F87" s="437"/>
      <c r="G87" s="378"/>
      <c r="H87" s="694"/>
      <c r="I87" s="879"/>
      <c r="J87" s="879"/>
      <c r="K87" s="278"/>
      <c r="L87" s="301">
        <v>5</v>
      </c>
      <c r="M87" s="421" t="s">
        <v>1005</v>
      </c>
      <c r="N87" s="303" t="s">
        <v>1007</v>
      </c>
      <c r="O87" s="572">
        <v>1</v>
      </c>
      <c r="P87" s="452">
        <v>1050000</v>
      </c>
      <c r="Q87" s="305">
        <f>O87*P87</f>
        <v>1050000</v>
      </c>
      <c r="R87" s="1003"/>
      <c r="S87" s="646"/>
      <c r="T87" s="551">
        <f t="shared" si="7"/>
        <v>46173</v>
      </c>
      <c r="U87" s="542">
        <f t="shared" si="8"/>
        <v>1218420.4071621303</v>
      </c>
      <c r="V87" s="894"/>
      <c r="W87" s="608">
        <f>W81</f>
        <v>46173</v>
      </c>
      <c r="X87" s="888"/>
      <c r="Y87" s="507"/>
      <c r="Z87" s="879"/>
    </row>
    <row r="88" spans="1:26" ht="14.25" customHeight="1">
      <c r="B88" s="375">
        <v>5</v>
      </c>
      <c r="C88" s="376"/>
      <c r="D88" s="379"/>
      <c r="E88" s="399"/>
      <c r="F88" s="437"/>
      <c r="G88" s="378"/>
      <c r="H88" s="694"/>
      <c r="I88" s="879"/>
      <c r="J88" s="879"/>
      <c r="K88" s="278"/>
      <c r="L88" s="301">
        <v>5</v>
      </c>
      <c r="M88" s="421" t="s">
        <v>1005</v>
      </c>
      <c r="N88" s="379"/>
      <c r="O88" s="573"/>
      <c r="P88" s="437"/>
      <c r="Q88" s="378"/>
      <c r="R88" s="1003"/>
      <c r="S88" s="646"/>
      <c r="T88" s="551" t="str">
        <f t="shared" si="7"/>
        <v/>
      </c>
      <c r="U88" s="542">
        <f t="shared" si="8"/>
        <v>0</v>
      </c>
      <c r="V88" s="894"/>
      <c r="W88" s="608"/>
      <c r="X88" s="888"/>
      <c r="Y88" s="507"/>
      <c r="Z88" s="879"/>
    </row>
    <row r="89" spans="1:26" ht="14.25" customHeight="1">
      <c r="B89" s="375"/>
      <c r="C89" s="376"/>
      <c r="D89" s="379"/>
      <c r="E89" s="399"/>
      <c r="F89" s="437"/>
      <c r="G89" s="378"/>
      <c r="H89" s="694"/>
      <c r="I89" s="879"/>
      <c r="J89" s="879"/>
      <c r="K89" s="278"/>
      <c r="L89" s="301">
        <v>5</v>
      </c>
      <c r="M89" s="421" t="s">
        <v>1005</v>
      </c>
      <c r="N89" s="379" t="s">
        <v>1010</v>
      </c>
      <c r="O89" s="573"/>
      <c r="P89" s="437"/>
      <c r="Q89" s="378">
        <v>350000</v>
      </c>
      <c r="R89" s="1003"/>
      <c r="S89" s="646"/>
      <c r="T89" s="551">
        <v>46173</v>
      </c>
      <c r="U89" s="542">
        <f t="shared" si="8"/>
        <v>406140.13572071015</v>
      </c>
      <c r="V89" s="894"/>
      <c r="W89" s="608">
        <f>T89</f>
        <v>46173</v>
      </c>
      <c r="X89" s="888"/>
      <c r="Y89" s="507"/>
      <c r="Z89" s="879"/>
    </row>
    <row r="90" spans="1:26" ht="14.25" customHeight="1">
      <c r="B90" s="375"/>
      <c r="C90" s="376"/>
      <c r="D90" s="379"/>
      <c r="E90" s="399"/>
      <c r="F90" s="437"/>
      <c r="G90" s="378"/>
      <c r="H90" s="694"/>
      <c r="I90" s="879"/>
      <c r="J90" s="879"/>
      <c r="K90" s="278"/>
      <c r="L90" s="301">
        <v>5</v>
      </c>
      <c r="M90" s="421" t="s">
        <v>1005</v>
      </c>
      <c r="N90" s="379"/>
      <c r="O90" s="573"/>
      <c r="P90" s="437"/>
      <c r="Q90" s="378"/>
      <c r="R90" s="1003"/>
      <c r="S90" s="646"/>
      <c r="T90" s="551"/>
      <c r="U90" s="542">
        <f t="shared" si="8"/>
        <v>0</v>
      </c>
      <c r="V90" s="894"/>
      <c r="W90" s="608"/>
      <c r="X90" s="888"/>
      <c r="Y90" s="507"/>
      <c r="Z90" s="879"/>
    </row>
    <row r="91" spans="1:26" ht="14.25" customHeight="1">
      <c r="B91" s="375">
        <v>5</v>
      </c>
      <c r="C91" s="376"/>
      <c r="D91" s="379"/>
      <c r="E91" s="399"/>
      <c r="F91" s="437"/>
      <c r="G91" s="378"/>
      <c r="H91" s="694"/>
      <c r="I91" s="879"/>
      <c r="J91" s="879"/>
      <c r="K91" s="278"/>
      <c r="L91" s="301">
        <v>5</v>
      </c>
      <c r="M91" s="421" t="s">
        <v>1005</v>
      </c>
      <c r="N91" s="379"/>
      <c r="O91" s="573"/>
      <c r="P91" s="437"/>
      <c r="Q91" s="378"/>
      <c r="R91" s="1003"/>
      <c r="S91" s="646"/>
      <c r="T91" s="551" t="str">
        <f t="shared" si="7"/>
        <v/>
      </c>
      <c r="U91" s="542">
        <f t="shared" si="8"/>
        <v>0</v>
      </c>
      <c r="V91" s="894"/>
      <c r="W91" s="608"/>
      <c r="X91" s="888"/>
      <c r="Y91" s="507"/>
      <c r="Z91" s="879"/>
    </row>
    <row r="92" spans="1:26" ht="14.25" customHeight="1">
      <c r="B92" s="375">
        <v>5</v>
      </c>
      <c r="C92" s="376"/>
      <c r="D92" s="379"/>
      <c r="E92" s="399"/>
      <c r="F92" s="437"/>
      <c r="G92" s="378"/>
      <c r="H92" s="694"/>
      <c r="I92" s="879"/>
      <c r="J92" s="879"/>
      <c r="K92" s="278"/>
      <c r="L92" s="301">
        <v>5</v>
      </c>
      <c r="M92" s="421" t="s">
        <v>1005</v>
      </c>
      <c r="N92" s="303" t="s">
        <v>1008</v>
      </c>
      <c r="O92" s="572">
        <v>2</v>
      </c>
      <c r="P92" s="452">
        <v>250000</v>
      </c>
      <c r="Q92" s="305">
        <f>O92*P92</f>
        <v>500000</v>
      </c>
      <c r="R92" s="1003"/>
      <c r="S92" s="646"/>
      <c r="T92" s="551">
        <f t="shared" si="7"/>
        <v>46173</v>
      </c>
      <c r="U92" s="542">
        <f t="shared" si="8"/>
        <v>580200.19388672884</v>
      </c>
      <c r="V92" s="894"/>
      <c r="W92" s="608">
        <f>W81</f>
        <v>46173</v>
      </c>
      <c r="X92" s="888"/>
      <c r="Y92" s="507"/>
      <c r="Z92" s="879"/>
    </row>
    <row r="93" spans="1:26" ht="14.25" customHeight="1">
      <c r="B93" s="375">
        <v>5</v>
      </c>
      <c r="C93" s="376"/>
      <c r="D93" s="379"/>
      <c r="E93" s="399"/>
      <c r="F93" s="437"/>
      <c r="G93" s="378"/>
      <c r="H93" s="694"/>
      <c r="I93" s="879"/>
      <c r="J93" s="879"/>
      <c r="K93" s="278"/>
      <c r="L93" s="301">
        <v>5</v>
      </c>
      <c r="M93" s="421" t="s">
        <v>1005</v>
      </c>
      <c r="N93" s="379"/>
      <c r="O93" s="399"/>
      <c r="P93" s="437"/>
      <c r="Q93" s="485"/>
      <c r="R93" s="1003"/>
      <c r="S93" s="646"/>
      <c r="T93" s="551" t="str">
        <f t="shared" si="7"/>
        <v/>
      </c>
      <c r="U93" s="542">
        <f t="shared" si="8"/>
        <v>0</v>
      </c>
      <c r="V93" s="894"/>
      <c r="W93" s="608"/>
      <c r="X93" s="888"/>
      <c r="Y93" s="507"/>
      <c r="Z93" s="879"/>
    </row>
    <row r="94" spans="1:26" ht="14.25" customHeight="1">
      <c r="B94" s="375">
        <v>5</v>
      </c>
      <c r="C94" s="376"/>
      <c r="D94" s="379"/>
      <c r="E94" s="399"/>
      <c r="F94" s="437"/>
      <c r="G94" s="378"/>
      <c r="H94" s="694"/>
      <c r="I94" s="879"/>
      <c r="J94" s="879"/>
      <c r="K94" s="278"/>
      <c r="L94" s="301">
        <v>5</v>
      </c>
      <c r="M94" s="421" t="s">
        <v>1005</v>
      </c>
      <c r="N94" s="379"/>
      <c r="O94" s="399"/>
      <c r="P94" s="437"/>
      <c r="Q94" s="485"/>
      <c r="R94" s="1003"/>
      <c r="S94" s="646"/>
      <c r="T94" s="551" t="str">
        <f t="shared" si="7"/>
        <v/>
      </c>
      <c r="U94" s="542">
        <f t="shared" si="8"/>
        <v>0</v>
      </c>
      <c r="V94" s="894"/>
      <c r="W94" s="608"/>
      <c r="X94" s="888"/>
      <c r="Y94" s="507"/>
      <c r="Z94" s="879"/>
    </row>
    <row r="95" spans="1:26" ht="15" customHeight="1" thickBot="1">
      <c r="B95" s="306">
        <v>5</v>
      </c>
      <c r="C95" s="327"/>
      <c r="D95" s="307"/>
      <c r="E95" s="308"/>
      <c r="F95" s="453"/>
      <c r="G95" s="320"/>
      <c r="H95" s="695"/>
      <c r="I95" s="880"/>
      <c r="J95" s="880"/>
      <c r="K95" s="279"/>
      <c r="L95" s="306">
        <v>5</v>
      </c>
      <c r="M95" s="417" t="s">
        <v>1005</v>
      </c>
      <c r="N95" s="307"/>
      <c r="O95" s="308"/>
      <c r="P95" s="453"/>
      <c r="Q95" s="476"/>
      <c r="R95" s="1011"/>
      <c r="S95" s="647"/>
      <c r="T95" s="552" t="str">
        <f t="shared" si="7"/>
        <v/>
      </c>
      <c r="U95" s="536"/>
      <c r="V95" s="895"/>
      <c r="W95" s="609"/>
      <c r="X95" s="889"/>
      <c r="Y95" s="470"/>
      <c r="Z95" s="880"/>
    </row>
    <row r="96" spans="1:26" ht="14.5" thickBot="1">
      <c r="A96" s="24"/>
      <c r="B96" s="280"/>
      <c r="C96" s="297"/>
      <c r="D96" s="268"/>
      <c r="E96" s="281"/>
      <c r="F96" s="449"/>
      <c r="G96" s="282"/>
      <c r="H96" s="700"/>
      <c r="I96" s="316"/>
      <c r="J96" s="316"/>
      <c r="K96" s="24"/>
      <c r="L96" s="280"/>
      <c r="M96" s="297"/>
      <c r="N96" s="268"/>
      <c r="O96" s="281"/>
      <c r="P96" s="449"/>
      <c r="Q96" s="479"/>
      <c r="R96" s="1010"/>
      <c r="S96" s="652"/>
      <c r="T96" s="553" t="str">
        <f>IF(W96&gt;1,EOMONTH(W96,0),"")</f>
        <v/>
      </c>
      <c r="U96" s="541"/>
      <c r="V96" s="521"/>
      <c r="W96" s="610"/>
      <c r="X96" s="497"/>
      <c r="Y96" s="508"/>
      <c r="Z96" s="316"/>
    </row>
    <row r="97" spans="2:29" ht="14.25" customHeight="1">
      <c r="B97" s="283">
        <v>6</v>
      </c>
      <c r="C97" s="284" t="s">
        <v>1011</v>
      </c>
      <c r="D97" s="285" t="s">
        <v>1012</v>
      </c>
      <c r="E97" s="472">
        <v>2</v>
      </c>
      <c r="F97" s="450">
        <v>4500000</v>
      </c>
      <c r="G97" s="286">
        <v>9000000</v>
      </c>
      <c r="H97" s="697">
        <v>45961</v>
      </c>
      <c r="I97" s="881">
        <f>SUM(G97:G136)</f>
        <v>19087347.826086957</v>
      </c>
      <c r="J97" s="881">
        <v>20198251.6678169</v>
      </c>
      <c r="K97" s="287"/>
      <c r="L97" s="283">
        <v>6</v>
      </c>
      <c r="M97" s="424" t="s">
        <v>1013</v>
      </c>
      <c r="N97" s="285"/>
      <c r="O97" s="586"/>
      <c r="P97" s="450"/>
      <c r="Q97" s="286"/>
      <c r="R97" s="1012"/>
      <c r="S97" s="649"/>
      <c r="T97" s="554" t="str">
        <f>IF(W97&gt;1,EOMONTH(W97,2),"")</f>
        <v/>
      </c>
      <c r="U97" s="538"/>
      <c r="V97" s="920">
        <f>J97-SUM(U97:U136)</f>
        <v>0</v>
      </c>
      <c r="W97" s="611"/>
      <c r="X97" s="905">
        <f>SUM(Q97:Q136)</f>
        <v>25725847.106086958</v>
      </c>
      <c r="Y97" s="509"/>
      <c r="Z97" s="881">
        <f>I97-X97</f>
        <v>-6638499.2800000012</v>
      </c>
    </row>
    <row r="98" spans="2:29" ht="14.25" customHeight="1">
      <c r="B98" s="288">
        <v>6</v>
      </c>
      <c r="C98" s="401"/>
      <c r="D98" s="436" t="s">
        <v>1014</v>
      </c>
      <c r="E98" s="386">
        <v>1</v>
      </c>
      <c r="F98" s="446">
        <v>1500000</v>
      </c>
      <c r="G98" s="311">
        <v>1500000</v>
      </c>
      <c r="H98" s="704">
        <v>45961</v>
      </c>
      <c r="I98" s="882"/>
      <c r="J98" s="882"/>
      <c r="K98" s="291"/>
      <c r="L98" s="288">
        <v>6</v>
      </c>
      <c r="M98" s="422" t="s">
        <v>1013</v>
      </c>
      <c r="N98" s="436"/>
      <c r="O98" s="576"/>
      <c r="P98" s="446"/>
      <c r="Q98" s="311"/>
      <c r="R98" s="1008"/>
      <c r="S98" s="650"/>
      <c r="T98" s="555" t="str">
        <f>IF(W98&gt;1,EOMONTH(W98,2),"")</f>
        <v/>
      </c>
      <c r="U98" s="539"/>
      <c r="V98" s="921"/>
      <c r="W98" s="612"/>
      <c r="X98" s="906"/>
      <c r="Y98" s="512"/>
      <c r="Z98" s="882"/>
    </row>
    <row r="99" spans="2:29" ht="14.25" customHeight="1">
      <c r="B99" s="288"/>
      <c r="C99" s="401"/>
      <c r="D99" s="436"/>
      <c r="E99" s="386"/>
      <c r="F99" s="446"/>
      <c r="G99" s="311"/>
      <c r="H99" s="704"/>
      <c r="I99" s="882"/>
      <c r="J99" s="882"/>
      <c r="K99" s="291"/>
      <c r="L99" s="288">
        <v>6</v>
      </c>
      <c r="M99" s="422" t="s">
        <v>1013</v>
      </c>
      <c r="N99" s="436" t="s">
        <v>1015</v>
      </c>
      <c r="O99" s="576">
        <v>3</v>
      </c>
      <c r="P99" s="446">
        <f>2780642.94</f>
        <v>2780642.94</v>
      </c>
      <c r="Q99" s="311">
        <f>O99*P99*0.05</f>
        <v>417096.44100000005</v>
      </c>
      <c r="R99" s="875" t="s">
        <v>955</v>
      </c>
      <c r="S99" s="650" t="s">
        <v>956</v>
      </c>
      <c r="T99" s="555">
        <v>46081</v>
      </c>
      <c r="U99" s="539">
        <f t="shared" ref="U99:U135" si="9">(Q99/$X$97*$J$97)</f>
        <v>327476.83099910076</v>
      </c>
      <c r="V99" s="921"/>
      <c r="W99" s="569">
        <v>46051</v>
      </c>
      <c r="X99" s="906"/>
      <c r="Y99" s="512"/>
      <c r="Z99" s="882"/>
    </row>
    <row r="100" spans="2:29" ht="14.25" customHeight="1">
      <c r="B100" s="288"/>
      <c r="C100" s="401"/>
      <c r="D100" s="436"/>
      <c r="E100" s="386"/>
      <c r="F100" s="446"/>
      <c r="G100" s="311"/>
      <c r="H100" s="704"/>
      <c r="I100" s="882"/>
      <c r="J100" s="882"/>
      <c r="K100" s="291"/>
      <c r="L100" s="288">
        <v>6</v>
      </c>
      <c r="M100" s="422" t="s">
        <v>1013</v>
      </c>
      <c r="N100" s="436" t="s">
        <v>1016</v>
      </c>
      <c r="O100" s="576"/>
      <c r="P100" s="446"/>
      <c r="Q100" s="311">
        <f>O99*P99*0.25</f>
        <v>2085482.2050000001</v>
      </c>
      <c r="R100" s="876"/>
      <c r="S100" s="650" t="s">
        <v>956</v>
      </c>
      <c r="T100" s="555">
        <v>46142</v>
      </c>
      <c r="U100" s="539">
        <f t="shared" si="9"/>
        <v>1637384.1549955036</v>
      </c>
      <c r="V100" s="921"/>
      <c r="W100" s="569">
        <v>46070</v>
      </c>
      <c r="X100" s="906"/>
      <c r="Y100" s="512"/>
      <c r="Z100" s="882"/>
    </row>
    <row r="101" spans="2:29" ht="14.25" customHeight="1">
      <c r="B101" s="288"/>
      <c r="C101" s="401"/>
      <c r="D101" s="436"/>
      <c r="E101" s="386"/>
      <c r="F101" s="446"/>
      <c r="G101" s="311"/>
      <c r="H101" s="704"/>
      <c r="I101" s="882"/>
      <c r="J101" s="882"/>
      <c r="K101" s="291"/>
      <c r="L101" s="288">
        <v>6</v>
      </c>
      <c r="M101" s="422" t="s">
        <v>1013</v>
      </c>
      <c r="N101" s="436" t="s">
        <v>1017</v>
      </c>
      <c r="O101" s="576"/>
      <c r="P101" s="751"/>
      <c r="Q101" s="311">
        <f>O99*P99*0.7</f>
        <v>5839350.1739999996</v>
      </c>
      <c r="R101" s="876"/>
      <c r="S101" s="650" t="s">
        <v>956</v>
      </c>
      <c r="T101" s="555">
        <v>46173</v>
      </c>
      <c r="U101" s="539">
        <f t="shared" si="9"/>
        <v>4584675.63398741</v>
      </c>
      <c r="V101" s="921"/>
      <c r="W101" s="612">
        <f>'Project Plan'!M106</f>
        <v>46198</v>
      </c>
      <c r="X101" s="906"/>
      <c r="Y101" s="512"/>
      <c r="Z101" s="882"/>
    </row>
    <row r="102" spans="2:29" ht="14.25" customHeight="1">
      <c r="B102" s="288"/>
      <c r="C102" s="401"/>
      <c r="D102" s="436"/>
      <c r="E102" s="386"/>
      <c r="F102" s="446"/>
      <c r="G102" s="311"/>
      <c r="H102" s="704"/>
      <c r="I102" s="882"/>
      <c r="J102" s="882"/>
      <c r="K102" s="291"/>
      <c r="L102" s="288">
        <v>7</v>
      </c>
      <c r="M102" s="422" t="s">
        <v>1013</v>
      </c>
      <c r="N102" s="436"/>
      <c r="O102" s="576"/>
      <c r="P102" s="751"/>
      <c r="Q102" s="311"/>
      <c r="R102" s="876"/>
      <c r="S102" s="650"/>
      <c r="T102" s="555"/>
      <c r="U102" s="539"/>
      <c r="V102" s="921"/>
      <c r="W102" s="612"/>
      <c r="X102" s="906"/>
      <c r="Y102" s="512"/>
      <c r="Z102" s="882"/>
    </row>
    <row r="103" spans="2:29" ht="14.25" customHeight="1">
      <c r="B103" s="288"/>
      <c r="C103" s="401"/>
      <c r="D103" s="436"/>
      <c r="E103" s="386"/>
      <c r="F103" s="446"/>
      <c r="G103" s="311"/>
      <c r="H103" s="704"/>
      <c r="I103" s="882"/>
      <c r="J103" s="882"/>
      <c r="K103" s="291"/>
      <c r="L103" s="288">
        <v>6</v>
      </c>
      <c r="M103" s="422" t="s">
        <v>1013</v>
      </c>
      <c r="N103" s="436"/>
      <c r="O103" s="576"/>
      <c r="P103" s="751"/>
      <c r="Q103" s="311"/>
      <c r="R103" s="876"/>
      <c r="S103" s="650"/>
      <c r="T103" s="555"/>
      <c r="U103" s="539"/>
      <c r="V103" s="921"/>
      <c r="W103" s="612"/>
      <c r="X103" s="906"/>
      <c r="Y103" s="512"/>
      <c r="Z103" s="882"/>
      <c r="AC103" s="820">
        <f>-145888.08*1.2</f>
        <v>-175065.69599999997</v>
      </c>
    </row>
    <row r="104" spans="2:29" ht="14.25" customHeight="1">
      <c r="B104" s="288"/>
      <c r="C104" s="401"/>
      <c r="D104" s="436"/>
      <c r="E104" s="386"/>
      <c r="F104" s="446"/>
      <c r="G104" s="311"/>
      <c r="H104" s="704"/>
      <c r="I104" s="882"/>
      <c r="J104" s="882"/>
      <c r="K104" s="291"/>
      <c r="L104" s="288">
        <v>6</v>
      </c>
      <c r="M104" s="422" t="s">
        <v>1013</v>
      </c>
      <c r="N104" s="436" t="s">
        <v>1018</v>
      </c>
      <c r="O104" s="576"/>
      <c r="P104" s="446">
        <f>8451084.28-SUM(Q99:Q101)</f>
        <v>109155.45999999903</v>
      </c>
      <c r="Q104" s="311">
        <f>P104*0.05</f>
        <v>5457.7729999999519</v>
      </c>
      <c r="R104" s="876"/>
      <c r="S104" s="650" t="s">
        <v>956</v>
      </c>
      <c r="T104" s="555">
        <v>46081</v>
      </c>
      <c r="U104" s="539">
        <f t="shared" si="9"/>
        <v>4285.0862070828343</v>
      </c>
      <c r="V104" s="921"/>
      <c r="W104" s="569">
        <f>W99</f>
        <v>46051</v>
      </c>
      <c r="X104" s="906"/>
      <c r="Y104" s="512"/>
      <c r="Z104" s="882"/>
      <c r="AC104" s="820">
        <f>(5090*620*2.7)-(5090*620*3.1)</f>
        <v>-1262320</v>
      </c>
    </row>
    <row r="105" spans="2:29" ht="14.25" customHeight="1">
      <c r="B105" s="288"/>
      <c r="C105" s="401"/>
      <c r="D105" s="436"/>
      <c r="E105" s="386"/>
      <c r="F105" s="446"/>
      <c r="G105" s="311"/>
      <c r="H105" s="704"/>
      <c r="I105" s="882"/>
      <c r="J105" s="882"/>
      <c r="K105" s="291"/>
      <c r="L105" s="288">
        <v>6</v>
      </c>
      <c r="M105" s="422" t="s">
        <v>1013</v>
      </c>
      <c r="N105" s="436" t="s">
        <v>1019</v>
      </c>
      <c r="O105" s="576"/>
      <c r="P105" s="446"/>
      <c r="Q105" s="311">
        <f>P104*0.25</f>
        <v>27288.864999999758</v>
      </c>
      <c r="R105" s="876"/>
      <c r="S105" s="650" t="s">
        <v>956</v>
      </c>
      <c r="T105" s="555">
        <v>46142</v>
      </c>
      <c r="U105" s="539">
        <f t="shared" si="9"/>
        <v>21425.431035414167</v>
      </c>
      <c r="V105" s="921"/>
      <c r="W105" s="569">
        <f>W100</f>
        <v>46070</v>
      </c>
      <c r="X105" s="906"/>
      <c r="Y105" s="512"/>
      <c r="Z105" s="882"/>
      <c r="AC105" s="821">
        <v>-719462</v>
      </c>
    </row>
    <row r="106" spans="2:29" ht="14.25" customHeight="1">
      <c r="B106" s="288"/>
      <c r="C106" s="401"/>
      <c r="D106" s="436"/>
      <c r="E106" s="386"/>
      <c r="F106" s="446"/>
      <c r="G106" s="311"/>
      <c r="H106" s="704"/>
      <c r="I106" s="882"/>
      <c r="J106" s="882"/>
      <c r="K106" s="291"/>
      <c r="L106" s="288">
        <v>6</v>
      </c>
      <c r="M106" s="422" t="s">
        <v>1013</v>
      </c>
      <c r="N106" s="436" t="s">
        <v>1020</v>
      </c>
      <c r="O106" s="576"/>
      <c r="P106" s="446"/>
      <c r="Q106" s="311">
        <f>P104*0.7</f>
        <v>76408.821999999316</v>
      </c>
      <c r="R106" s="877"/>
      <c r="S106" s="650" t="s">
        <v>956</v>
      </c>
      <c r="T106" s="555">
        <v>46173</v>
      </c>
      <c r="U106" s="539">
        <f t="shared" si="9"/>
        <v>59991.206899159668</v>
      </c>
      <c r="V106" s="921"/>
      <c r="W106" s="612">
        <f>W101</f>
        <v>46198</v>
      </c>
      <c r="X106" s="906"/>
      <c r="Y106" s="512"/>
      <c r="Z106" s="882"/>
      <c r="AC106" s="820">
        <f>(295143*1.2)-(1014808*1.2)</f>
        <v>-863597.99999999988</v>
      </c>
    </row>
    <row r="107" spans="2:29" ht="14.25" customHeight="1">
      <c r="B107" s="288"/>
      <c r="C107" s="401"/>
      <c r="D107" s="436"/>
      <c r="E107" s="386"/>
      <c r="F107" s="446"/>
      <c r="G107" s="311"/>
      <c r="H107" s="704"/>
      <c r="I107" s="882"/>
      <c r="J107" s="882"/>
      <c r="K107" s="291"/>
      <c r="L107" s="288">
        <v>6</v>
      </c>
      <c r="M107" s="422" t="s">
        <v>1013</v>
      </c>
      <c r="N107" s="436"/>
      <c r="O107" s="576"/>
      <c r="P107" s="751"/>
      <c r="Q107" s="311"/>
      <c r="R107" s="1008"/>
      <c r="S107" s="650"/>
      <c r="T107" s="555" t="str">
        <f t="shared" si="7"/>
        <v/>
      </c>
      <c r="U107" s="539">
        <f t="shared" si="9"/>
        <v>0</v>
      </c>
      <c r="V107" s="921"/>
      <c r="W107" s="612"/>
      <c r="X107" s="906"/>
      <c r="Y107" s="512"/>
      <c r="Z107" s="882"/>
      <c r="AC107" s="820">
        <v>2552801.14</v>
      </c>
    </row>
    <row r="108" spans="2:29" ht="14.25" customHeight="1">
      <c r="B108" s="288"/>
      <c r="C108" s="401"/>
      <c r="D108" s="436"/>
      <c r="E108" s="386"/>
      <c r="F108" s="446"/>
      <c r="G108" s="311"/>
      <c r="H108" s="704"/>
      <c r="I108" s="882"/>
      <c r="J108" s="882"/>
      <c r="K108" s="291"/>
      <c r="L108" s="288">
        <v>6</v>
      </c>
      <c r="M108" s="422" t="s">
        <v>1013</v>
      </c>
      <c r="N108" s="436" t="s">
        <v>1021</v>
      </c>
      <c r="O108" s="634">
        <v>0.2</v>
      </c>
      <c r="P108" s="446">
        <f>3097494</f>
        <v>3097494</v>
      </c>
      <c r="Q108" s="311">
        <f>$P$108*O108</f>
        <v>619498.80000000005</v>
      </c>
      <c r="R108" s="875" t="s">
        <v>1327</v>
      </c>
      <c r="S108" s="650"/>
      <c r="T108" s="555">
        <v>46081</v>
      </c>
      <c r="U108" s="539">
        <f t="shared" si="9"/>
        <v>486389.9182293567</v>
      </c>
      <c r="V108" s="921"/>
      <c r="W108" s="612">
        <v>46074</v>
      </c>
      <c r="X108" s="906"/>
      <c r="Y108" s="512"/>
      <c r="Z108" s="882"/>
      <c r="AC108" s="820" t="s">
        <v>1022</v>
      </c>
    </row>
    <row r="109" spans="2:29" ht="14.25" customHeight="1">
      <c r="B109" s="288"/>
      <c r="C109" s="401"/>
      <c r="D109" s="436"/>
      <c r="E109" s="386"/>
      <c r="F109" s="446"/>
      <c r="G109" s="311"/>
      <c r="H109" s="704"/>
      <c r="I109" s="882"/>
      <c r="J109" s="882"/>
      <c r="K109" s="291"/>
      <c r="L109" s="288">
        <v>6</v>
      </c>
      <c r="M109" s="422" t="s">
        <v>1013</v>
      </c>
      <c r="N109" s="289" t="s">
        <v>1023</v>
      </c>
      <c r="O109" s="634">
        <v>0.3</v>
      </c>
      <c r="P109" s="446"/>
      <c r="Q109" s="311">
        <f t="shared" ref="Q109:Q112" si="10">$P$108*O109</f>
        <v>929248.2</v>
      </c>
      <c r="R109" s="876"/>
      <c r="S109" s="650"/>
      <c r="T109" s="555">
        <v>46142</v>
      </c>
      <c r="U109" s="539">
        <f t="shared" si="9"/>
        <v>729584.87734403496</v>
      </c>
      <c r="V109" s="921"/>
      <c r="W109" s="612">
        <f>W108+14</f>
        <v>46088</v>
      </c>
      <c r="X109" s="906"/>
      <c r="Y109" s="512"/>
      <c r="Z109" s="882"/>
    </row>
    <row r="110" spans="2:29" ht="14.25" customHeight="1">
      <c r="B110" s="288"/>
      <c r="C110" s="401"/>
      <c r="D110" s="436"/>
      <c r="E110" s="386"/>
      <c r="F110" s="446"/>
      <c r="G110" s="311"/>
      <c r="H110" s="704"/>
      <c r="I110" s="882"/>
      <c r="J110" s="882"/>
      <c r="K110" s="291"/>
      <c r="L110" s="288">
        <v>6</v>
      </c>
      <c r="M110" s="422" t="s">
        <v>1013</v>
      </c>
      <c r="N110" s="289" t="s">
        <v>1024</v>
      </c>
      <c r="O110" s="634">
        <v>0.3</v>
      </c>
      <c r="P110" s="446"/>
      <c r="Q110" s="311">
        <f t="shared" si="10"/>
        <v>929248.2</v>
      </c>
      <c r="R110" s="876"/>
      <c r="S110" s="650"/>
      <c r="T110" s="555">
        <v>46173</v>
      </c>
      <c r="U110" s="539">
        <f t="shared" si="9"/>
        <v>729584.87734403496</v>
      </c>
      <c r="V110" s="921"/>
      <c r="W110" s="612">
        <f>W109+30</f>
        <v>46118</v>
      </c>
      <c r="X110" s="906"/>
      <c r="Y110" s="512"/>
      <c r="Z110" s="882"/>
    </row>
    <row r="111" spans="2:29" ht="14.25" customHeight="1">
      <c r="B111" s="288"/>
      <c r="C111" s="401"/>
      <c r="D111" s="436"/>
      <c r="E111" s="386"/>
      <c r="F111" s="446"/>
      <c r="G111" s="311"/>
      <c r="H111" s="704"/>
      <c r="I111" s="882"/>
      <c r="J111" s="882"/>
      <c r="K111" s="291"/>
      <c r="L111" s="288">
        <v>6</v>
      </c>
      <c r="M111" s="422" t="s">
        <v>1013</v>
      </c>
      <c r="N111" s="289" t="s">
        <v>1025</v>
      </c>
      <c r="O111" s="634">
        <v>0.1</v>
      </c>
      <c r="P111" s="446"/>
      <c r="Q111" s="311">
        <f t="shared" si="10"/>
        <v>309749.40000000002</v>
      </c>
      <c r="R111" s="876"/>
      <c r="S111" s="650"/>
      <c r="T111" s="555">
        <v>46203</v>
      </c>
      <c r="U111" s="539">
        <f t="shared" si="9"/>
        <v>243194.95911467835</v>
      </c>
      <c r="V111" s="921"/>
      <c r="W111" s="612">
        <f>W110+60</f>
        <v>46178</v>
      </c>
      <c r="X111" s="906"/>
      <c r="Y111" s="512"/>
      <c r="Z111" s="882"/>
    </row>
    <row r="112" spans="2:29" ht="14.25" customHeight="1">
      <c r="B112" s="288">
        <v>6</v>
      </c>
      <c r="C112" s="443"/>
      <c r="D112" s="289" t="s">
        <v>1026</v>
      </c>
      <c r="E112" s="391">
        <v>1</v>
      </c>
      <c r="F112" s="447">
        <v>200000</v>
      </c>
      <c r="G112" s="311">
        <v>200000</v>
      </c>
      <c r="H112" s="704">
        <v>45961</v>
      </c>
      <c r="I112" s="882"/>
      <c r="J112" s="882"/>
      <c r="K112" s="291"/>
      <c r="L112" s="288">
        <v>6</v>
      </c>
      <c r="M112" s="422" t="s">
        <v>1013</v>
      </c>
      <c r="N112" s="289" t="s">
        <v>1027</v>
      </c>
      <c r="O112" s="634">
        <v>0.1</v>
      </c>
      <c r="P112" s="447"/>
      <c r="Q112" s="311">
        <f t="shared" si="10"/>
        <v>309749.40000000002</v>
      </c>
      <c r="R112" s="877"/>
      <c r="S112" s="650"/>
      <c r="T112" s="555">
        <v>46234</v>
      </c>
      <c r="U112" s="539">
        <f t="shared" si="9"/>
        <v>243194.95911467835</v>
      </c>
      <c r="V112" s="921"/>
      <c r="W112" s="612">
        <f>W111+30</f>
        <v>46208</v>
      </c>
      <c r="X112" s="906"/>
      <c r="Y112" s="512"/>
      <c r="Z112" s="882"/>
    </row>
    <row r="113" spans="2:26" ht="14.25" customHeight="1">
      <c r="B113" s="288"/>
      <c r="C113" s="443"/>
      <c r="D113" s="289"/>
      <c r="E113" s="391"/>
      <c r="F113" s="447"/>
      <c r="G113" s="311"/>
      <c r="H113" s="704"/>
      <c r="I113" s="882"/>
      <c r="J113" s="882"/>
      <c r="K113" s="291"/>
      <c r="L113" s="288">
        <v>6</v>
      </c>
      <c r="M113" s="422" t="s">
        <v>1013</v>
      </c>
      <c r="N113" s="289"/>
      <c r="O113" s="634"/>
      <c r="P113" s="447"/>
      <c r="Q113" s="311"/>
      <c r="R113" s="1008"/>
      <c r="S113" s="650"/>
      <c r="T113" s="555"/>
      <c r="U113" s="539">
        <f t="shared" si="9"/>
        <v>0</v>
      </c>
      <c r="V113" s="921"/>
      <c r="W113" s="612"/>
      <c r="X113" s="906"/>
      <c r="Y113" s="512"/>
      <c r="Z113" s="882"/>
    </row>
    <row r="114" spans="2:26" ht="14.25" customHeight="1">
      <c r="B114" s="288"/>
      <c r="C114" s="443"/>
      <c r="D114" s="289"/>
      <c r="E114" s="391"/>
      <c r="F114" s="447"/>
      <c r="G114" s="311"/>
      <c r="H114" s="704"/>
      <c r="I114" s="882"/>
      <c r="J114" s="882"/>
      <c r="K114" s="291"/>
      <c r="L114" s="288">
        <v>6</v>
      </c>
      <c r="M114" s="422" t="s">
        <v>1013</v>
      </c>
      <c r="N114" s="289" t="s">
        <v>1028</v>
      </c>
      <c r="O114" s="634">
        <v>0.3</v>
      </c>
      <c r="P114" s="447">
        <v>767277</v>
      </c>
      <c r="Q114" s="311">
        <f>P114*O114</f>
        <v>230183.1</v>
      </c>
      <c r="R114" s="875" t="s">
        <v>1328</v>
      </c>
      <c r="S114" s="650"/>
      <c r="T114" s="555">
        <v>46081</v>
      </c>
      <c r="U114" s="539">
        <f t="shared" si="9"/>
        <v>180724.70711287874</v>
      </c>
      <c r="V114" s="921"/>
      <c r="W114" s="612">
        <f>T114</f>
        <v>46081</v>
      </c>
      <c r="X114" s="906"/>
      <c r="Y114" s="512"/>
      <c r="Z114" s="882"/>
    </row>
    <row r="115" spans="2:26" ht="14.25" customHeight="1">
      <c r="B115" s="288"/>
      <c r="C115" s="443"/>
      <c r="D115" s="289"/>
      <c r="E115" s="391"/>
      <c r="F115" s="447"/>
      <c r="G115" s="311"/>
      <c r="H115" s="704"/>
      <c r="I115" s="882"/>
      <c r="J115" s="882"/>
      <c r="K115" s="291"/>
      <c r="L115" s="288">
        <v>6</v>
      </c>
      <c r="M115" s="422" t="s">
        <v>1013</v>
      </c>
      <c r="N115" s="289" t="s">
        <v>1029</v>
      </c>
      <c r="O115" s="634">
        <v>0.7</v>
      </c>
      <c r="P115" s="447"/>
      <c r="Q115" s="311">
        <f>P114*O115</f>
        <v>537093.9</v>
      </c>
      <c r="R115" s="877"/>
      <c r="S115" s="650"/>
      <c r="T115" s="555">
        <v>46265</v>
      </c>
      <c r="U115" s="539">
        <f t="shared" si="9"/>
        <v>421690.98326338374</v>
      </c>
      <c r="V115" s="921"/>
      <c r="W115" s="612">
        <f>T115</f>
        <v>46265</v>
      </c>
      <c r="X115" s="906"/>
      <c r="Y115" s="512"/>
      <c r="Z115" s="882"/>
    </row>
    <row r="116" spans="2:26" ht="14.25" customHeight="1">
      <c r="B116" s="288"/>
      <c r="C116" s="443"/>
      <c r="D116" s="289"/>
      <c r="E116" s="391"/>
      <c r="F116" s="447"/>
      <c r="G116" s="311"/>
      <c r="H116" s="704"/>
      <c r="I116" s="882"/>
      <c r="J116" s="882"/>
      <c r="K116" s="291"/>
      <c r="L116" s="288">
        <v>6</v>
      </c>
      <c r="M116" s="422" t="s">
        <v>1013</v>
      </c>
      <c r="N116" s="289"/>
      <c r="O116" s="634"/>
      <c r="P116" s="447"/>
      <c r="Q116" s="311"/>
      <c r="R116" s="1008"/>
      <c r="S116" s="650"/>
      <c r="T116" s="555"/>
      <c r="U116" s="539">
        <f t="shared" si="9"/>
        <v>0</v>
      </c>
      <c r="V116" s="921"/>
      <c r="W116" s="612"/>
      <c r="X116" s="906"/>
      <c r="Y116" s="512"/>
      <c r="Z116" s="882"/>
    </row>
    <row r="117" spans="2:26" ht="14.25" customHeight="1">
      <c r="B117" s="288"/>
      <c r="C117" s="443"/>
      <c r="D117" s="289"/>
      <c r="E117" s="391"/>
      <c r="F117" s="447"/>
      <c r="G117" s="311"/>
      <c r="H117" s="704"/>
      <c r="I117" s="882"/>
      <c r="J117" s="882"/>
      <c r="K117" s="291"/>
      <c r="L117" s="288">
        <v>6</v>
      </c>
      <c r="M117" s="422" t="s">
        <v>1013</v>
      </c>
      <c r="N117" s="289"/>
      <c r="O117" s="634"/>
      <c r="P117" s="447"/>
      <c r="Q117" s="311"/>
      <c r="R117" s="1008"/>
      <c r="S117" s="650"/>
      <c r="T117" s="555"/>
      <c r="U117" s="539">
        <f t="shared" si="9"/>
        <v>0</v>
      </c>
      <c r="V117" s="921"/>
      <c r="W117" s="612"/>
      <c r="X117" s="906"/>
      <c r="Y117" s="512"/>
      <c r="Z117" s="882"/>
    </row>
    <row r="118" spans="2:26" ht="14.25" customHeight="1">
      <c r="B118" s="288"/>
      <c r="C118" s="443"/>
      <c r="D118" s="289"/>
      <c r="E118" s="391"/>
      <c r="F118" s="447"/>
      <c r="G118" s="311"/>
      <c r="H118" s="704"/>
      <c r="I118" s="882"/>
      <c r="J118" s="882"/>
      <c r="K118" s="291"/>
      <c r="L118" s="288">
        <v>6</v>
      </c>
      <c r="M118" s="422" t="s">
        <v>1013</v>
      </c>
      <c r="N118" s="289"/>
      <c r="O118" s="634"/>
      <c r="P118" s="447"/>
      <c r="Q118" s="311"/>
      <c r="R118" s="1008"/>
      <c r="S118" s="650"/>
      <c r="T118" s="555"/>
      <c r="U118" s="539">
        <f t="shared" si="9"/>
        <v>0</v>
      </c>
      <c r="V118" s="921"/>
      <c r="W118" s="612"/>
      <c r="X118" s="906"/>
      <c r="Y118" s="512"/>
      <c r="Z118" s="882"/>
    </row>
    <row r="119" spans="2:26" ht="14.25" customHeight="1">
      <c r="B119" s="288">
        <v>6</v>
      </c>
      <c r="C119" s="392"/>
      <c r="D119" s="289" t="s">
        <v>1030</v>
      </c>
      <c r="E119" s="391">
        <v>2</v>
      </c>
      <c r="F119" s="447">
        <v>3000000</v>
      </c>
      <c r="G119" s="311">
        <v>6000000</v>
      </c>
      <c r="H119" s="704">
        <v>45961</v>
      </c>
      <c r="I119" s="882"/>
      <c r="J119" s="882"/>
      <c r="K119" s="291"/>
      <c r="L119" s="288">
        <v>6</v>
      </c>
      <c r="M119" s="423" t="s">
        <v>1013</v>
      </c>
      <c r="N119" s="289"/>
      <c r="O119" s="578"/>
      <c r="P119" s="447"/>
      <c r="Q119" s="311"/>
      <c r="R119" s="1008"/>
      <c r="S119" s="650"/>
      <c r="T119" s="555"/>
      <c r="U119" s="539">
        <f t="shared" si="9"/>
        <v>0</v>
      </c>
      <c r="V119" s="921"/>
      <c r="W119" s="612"/>
      <c r="X119" s="906"/>
      <c r="Y119" s="512"/>
      <c r="Z119" s="882"/>
    </row>
    <row r="120" spans="2:26" ht="14.25" customHeight="1">
      <c r="B120" s="288">
        <v>6</v>
      </c>
      <c r="C120" s="392"/>
      <c r="D120" s="289" t="s">
        <v>1031</v>
      </c>
      <c r="E120" s="391">
        <v>5</v>
      </c>
      <c r="F120" s="447">
        <v>150000</v>
      </c>
      <c r="G120" s="311">
        <v>750000</v>
      </c>
      <c r="H120" s="704">
        <v>45961</v>
      </c>
      <c r="I120" s="882"/>
      <c r="J120" s="882"/>
      <c r="K120" s="291"/>
      <c r="L120" s="288">
        <v>6</v>
      </c>
      <c r="M120" s="423" t="s">
        <v>1013</v>
      </c>
      <c r="N120" s="289"/>
      <c r="O120" s="578"/>
      <c r="P120" s="447"/>
      <c r="Q120" s="311"/>
      <c r="R120" s="1008"/>
      <c r="S120" s="650"/>
      <c r="T120" s="555" t="str">
        <f t="shared" si="7"/>
        <v/>
      </c>
      <c r="U120" s="539">
        <f t="shared" si="9"/>
        <v>0</v>
      </c>
      <c r="V120" s="921"/>
      <c r="W120" s="612"/>
      <c r="X120" s="906"/>
      <c r="Y120" s="512"/>
      <c r="Z120" s="882"/>
    </row>
    <row r="121" spans="2:26" ht="14.25" customHeight="1">
      <c r="B121" s="288">
        <v>6</v>
      </c>
      <c r="C121" s="392"/>
      <c r="D121" s="289" t="s">
        <v>1032</v>
      </c>
      <c r="E121" s="391">
        <v>1000</v>
      </c>
      <c r="F121" s="447">
        <v>1619.3478260869565</v>
      </c>
      <c r="G121" s="311">
        <v>1619347.8260869565</v>
      </c>
      <c r="H121" s="704">
        <v>45961</v>
      </c>
      <c r="I121" s="882"/>
      <c r="J121" s="882"/>
      <c r="K121" s="291"/>
      <c r="L121" s="288">
        <v>6</v>
      </c>
      <c r="M121" s="423" t="s">
        <v>1013</v>
      </c>
      <c r="N121" s="289"/>
      <c r="O121" s="578"/>
      <c r="P121" s="447"/>
      <c r="Q121" s="311"/>
      <c r="R121" s="1008"/>
      <c r="S121" s="650"/>
      <c r="T121" s="555" t="str">
        <f t="shared" si="7"/>
        <v/>
      </c>
      <c r="U121" s="539">
        <f t="shared" si="9"/>
        <v>0</v>
      </c>
      <c r="V121" s="921"/>
      <c r="W121" s="612"/>
      <c r="X121" s="906"/>
      <c r="Y121" s="512"/>
      <c r="Z121" s="882"/>
    </row>
    <row r="122" spans="2:26" ht="14.25" customHeight="1">
      <c r="B122" s="288">
        <v>6</v>
      </c>
      <c r="C122" s="392"/>
      <c r="D122" s="289" t="s">
        <v>1033</v>
      </c>
      <c r="E122" s="391">
        <v>1</v>
      </c>
      <c r="F122" s="447">
        <v>18000</v>
      </c>
      <c r="G122" s="311">
        <v>18000</v>
      </c>
      <c r="H122" s="704">
        <v>45961</v>
      </c>
      <c r="I122" s="882"/>
      <c r="J122" s="882"/>
      <c r="K122" s="291"/>
      <c r="L122" s="288">
        <v>6</v>
      </c>
      <c r="M122" s="423" t="s">
        <v>1013</v>
      </c>
      <c r="N122" s="289" t="s">
        <v>1030</v>
      </c>
      <c r="O122" s="578">
        <v>2</v>
      </c>
      <c r="P122" s="447">
        <v>3000000</v>
      </c>
      <c r="Q122" s="311">
        <v>6000000</v>
      </c>
      <c r="R122" s="1008"/>
      <c r="S122" s="650"/>
      <c r="T122" s="555">
        <f t="shared" si="7"/>
        <v>46173</v>
      </c>
      <c r="U122" s="539">
        <f t="shared" si="9"/>
        <v>4710807.3645600928</v>
      </c>
      <c r="V122" s="921"/>
      <c r="W122" s="612">
        <v>46173</v>
      </c>
      <c r="X122" s="906"/>
      <c r="Y122" s="512"/>
      <c r="Z122" s="882"/>
    </row>
    <row r="123" spans="2:26" ht="14.25" customHeight="1">
      <c r="B123" s="288">
        <v>6</v>
      </c>
      <c r="C123" s="528"/>
      <c r="D123" s="325"/>
      <c r="E123" s="408"/>
      <c r="F123" s="454"/>
      <c r="G123" s="311"/>
      <c r="H123" s="704"/>
      <c r="I123" s="882"/>
      <c r="J123" s="882"/>
      <c r="K123" s="291"/>
      <c r="L123" s="288">
        <v>6</v>
      </c>
      <c r="M123" s="423" t="s">
        <v>1013</v>
      </c>
      <c r="N123" s="325"/>
      <c r="O123" s="579"/>
      <c r="P123" s="454"/>
      <c r="Q123" s="311"/>
      <c r="R123" s="1014"/>
      <c r="S123" s="655"/>
      <c r="T123" s="558" t="str">
        <f t="shared" si="7"/>
        <v/>
      </c>
      <c r="U123" s="539">
        <f t="shared" si="9"/>
        <v>0</v>
      </c>
      <c r="V123" s="921"/>
      <c r="W123" s="615"/>
      <c r="X123" s="906"/>
      <c r="Y123" s="512"/>
      <c r="Z123" s="882"/>
    </row>
    <row r="124" spans="2:26" ht="14.25" customHeight="1">
      <c r="B124" s="288">
        <v>6</v>
      </c>
      <c r="C124" s="528"/>
      <c r="D124" s="325"/>
      <c r="E124" s="408"/>
      <c r="F124" s="454"/>
      <c r="G124" s="311"/>
      <c r="H124" s="704"/>
      <c r="I124" s="882"/>
      <c r="J124" s="882"/>
      <c r="K124" s="291"/>
      <c r="L124" s="288">
        <v>6</v>
      </c>
      <c r="M124" s="423" t="s">
        <v>1013</v>
      </c>
      <c r="N124" s="325"/>
      <c r="O124" s="579"/>
      <c r="P124" s="454"/>
      <c r="Q124" s="311"/>
      <c r="R124" s="1014"/>
      <c r="S124" s="655"/>
      <c r="T124" s="558" t="str">
        <f t="shared" si="7"/>
        <v/>
      </c>
      <c r="U124" s="539">
        <f t="shared" si="9"/>
        <v>0</v>
      </c>
      <c r="V124" s="921"/>
      <c r="W124" s="615"/>
      <c r="X124" s="906"/>
      <c r="Y124" s="512"/>
      <c r="Z124" s="882"/>
    </row>
    <row r="125" spans="2:26" ht="14.25" customHeight="1">
      <c r="B125" s="288">
        <v>6</v>
      </c>
      <c r="C125" s="528"/>
      <c r="D125" s="325"/>
      <c r="E125" s="408"/>
      <c r="F125" s="454"/>
      <c r="G125" s="311"/>
      <c r="H125" s="704"/>
      <c r="I125" s="882"/>
      <c r="J125" s="882"/>
      <c r="K125" s="291"/>
      <c r="L125" s="288">
        <v>6</v>
      </c>
      <c r="M125" s="423" t="s">
        <v>1013</v>
      </c>
      <c r="N125" s="289" t="s">
        <v>1032</v>
      </c>
      <c r="O125" s="578">
        <v>1000</v>
      </c>
      <c r="P125" s="447">
        <v>1619.3478260869565</v>
      </c>
      <c r="Q125" s="311">
        <v>1619347.8260869565</v>
      </c>
      <c r="R125" s="1014"/>
      <c r="S125" s="655"/>
      <c r="T125" s="558">
        <f t="shared" si="7"/>
        <v>46173</v>
      </c>
      <c r="U125" s="539">
        <f t="shared" si="9"/>
        <v>1271405.9441524686</v>
      </c>
      <c r="V125" s="921"/>
      <c r="W125" s="615">
        <v>46173</v>
      </c>
      <c r="X125" s="906"/>
      <c r="Y125" s="512"/>
      <c r="Z125" s="882"/>
    </row>
    <row r="126" spans="2:26" ht="14.25" customHeight="1">
      <c r="B126" s="288">
        <v>6</v>
      </c>
      <c r="C126" s="528"/>
      <c r="D126" s="325"/>
      <c r="E126" s="408"/>
      <c r="F126" s="454"/>
      <c r="G126" s="311"/>
      <c r="H126" s="704"/>
      <c r="I126" s="882"/>
      <c r="J126" s="882"/>
      <c r="K126" s="291"/>
      <c r="L126" s="288">
        <v>6</v>
      </c>
      <c r="M126" s="423" t="s">
        <v>1013</v>
      </c>
      <c r="N126" s="325"/>
      <c r="O126" s="579"/>
      <c r="P126" s="454"/>
      <c r="Q126" s="311"/>
      <c r="R126" s="1014"/>
      <c r="S126" s="655"/>
      <c r="T126" s="558" t="str">
        <f t="shared" si="7"/>
        <v/>
      </c>
      <c r="U126" s="539">
        <f t="shared" si="9"/>
        <v>0</v>
      </c>
      <c r="V126" s="921"/>
      <c r="W126" s="615"/>
      <c r="X126" s="906"/>
      <c r="Y126" s="512"/>
      <c r="Z126" s="882"/>
    </row>
    <row r="127" spans="2:26" ht="14.25" customHeight="1">
      <c r="B127" s="288">
        <v>6</v>
      </c>
      <c r="C127" s="528"/>
      <c r="D127" s="325"/>
      <c r="E127" s="408"/>
      <c r="F127" s="454"/>
      <c r="G127" s="311"/>
      <c r="H127" s="704"/>
      <c r="I127" s="882"/>
      <c r="J127" s="882"/>
      <c r="K127" s="291"/>
      <c r="L127" s="288">
        <v>6</v>
      </c>
      <c r="M127" s="423" t="s">
        <v>1013</v>
      </c>
      <c r="N127" s="289"/>
      <c r="O127" s="578"/>
      <c r="P127" s="447"/>
      <c r="Q127" s="311"/>
      <c r="R127" s="1014"/>
      <c r="S127" s="655"/>
      <c r="T127" s="558" t="str">
        <f t="shared" si="7"/>
        <v/>
      </c>
      <c r="U127" s="539">
        <f t="shared" si="9"/>
        <v>0</v>
      </c>
      <c r="V127" s="921"/>
      <c r="W127" s="615"/>
      <c r="X127" s="906"/>
      <c r="Y127" s="512"/>
      <c r="Z127" s="882"/>
    </row>
    <row r="128" spans="2:26" ht="14.25" customHeight="1">
      <c r="B128" s="288">
        <v>6</v>
      </c>
      <c r="C128" s="528"/>
      <c r="D128" s="325"/>
      <c r="E128" s="408"/>
      <c r="F128" s="454"/>
      <c r="G128" s="311"/>
      <c r="H128" s="704"/>
      <c r="I128" s="882"/>
      <c r="J128" s="882"/>
      <c r="K128" s="291"/>
      <c r="L128" s="288">
        <v>6</v>
      </c>
      <c r="M128" s="423" t="s">
        <v>1013</v>
      </c>
      <c r="N128" s="289" t="s">
        <v>1033</v>
      </c>
      <c r="O128" s="578">
        <v>1</v>
      </c>
      <c r="P128" s="447">
        <v>18000</v>
      </c>
      <c r="Q128" s="311">
        <v>18000</v>
      </c>
      <c r="R128" s="1014"/>
      <c r="S128" s="655"/>
      <c r="T128" s="558">
        <f t="shared" si="7"/>
        <v>46173</v>
      </c>
      <c r="U128" s="539">
        <f t="shared" si="9"/>
        <v>14132.422093680278</v>
      </c>
      <c r="V128" s="921"/>
      <c r="W128" s="615">
        <v>46173</v>
      </c>
      <c r="X128" s="906"/>
      <c r="Y128" s="512"/>
      <c r="Z128" s="882"/>
    </row>
    <row r="129" spans="1:26" ht="14.25" customHeight="1">
      <c r="B129" s="288">
        <v>6</v>
      </c>
      <c r="C129" s="528"/>
      <c r="D129" s="325"/>
      <c r="E129" s="408"/>
      <c r="F129" s="454"/>
      <c r="G129" s="311"/>
      <c r="H129" s="704"/>
      <c r="I129" s="882"/>
      <c r="J129" s="882"/>
      <c r="K129" s="291"/>
      <c r="L129" s="288">
        <v>6</v>
      </c>
      <c r="M129" s="423" t="s">
        <v>1013</v>
      </c>
      <c r="N129" s="325"/>
      <c r="O129" s="579"/>
      <c r="P129" s="454"/>
      <c r="Q129" s="311"/>
      <c r="R129" s="1014"/>
      <c r="S129" s="655"/>
      <c r="T129" s="558" t="str">
        <f t="shared" si="7"/>
        <v/>
      </c>
      <c r="U129" s="539">
        <f t="shared" si="9"/>
        <v>0</v>
      </c>
      <c r="V129" s="921"/>
      <c r="W129" s="615"/>
      <c r="X129" s="906"/>
      <c r="Y129" s="512"/>
      <c r="Z129" s="882"/>
    </row>
    <row r="130" spans="1:26" ht="14.25" customHeight="1">
      <c r="B130" s="288">
        <v>6</v>
      </c>
      <c r="C130" s="528"/>
      <c r="D130" s="325"/>
      <c r="E130" s="408"/>
      <c r="F130" s="454"/>
      <c r="G130" s="311"/>
      <c r="H130" s="704"/>
      <c r="I130" s="882"/>
      <c r="J130" s="882"/>
      <c r="K130" s="291"/>
      <c r="L130" s="288">
        <v>6</v>
      </c>
      <c r="M130" s="423" t="s">
        <v>1013</v>
      </c>
      <c r="N130" s="289"/>
      <c r="O130" s="578"/>
      <c r="P130" s="447"/>
      <c r="Q130" s="311"/>
      <c r="R130" s="1014"/>
      <c r="S130" s="655"/>
      <c r="T130" s="558" t="str">
        <f t="shared" si="7"/>
        <v/>
      </c>
      <c r="U130" s="539">
        <f t="shared" si="9"/>
        <v>0</v>
      </c>
      <c r="V130" s="921"/>
      <c r="W130" s="615"/>
      <c r="X130" s="906"/>
      <c r="Y130" s="512"/>
      <c r="Z130" s="882"/>
    </row>
    <row r="131" spans="1:26" ht="14.25" customHeight="1">
      <c r="B131" s="288">
        <v>6</v>
      </c>
      <c r="C131" s="528"/>
      <c r="D131" s="325"/>
      <c r="E131" s="408"/>
      <c r="F131" s="454"/>
      <c r="G131" s="311"/>
      <c r="H131" s="704"/>
      <c r="I131" s="882"/>
      <c r="J131" s="882"/>
      <c r="K131" s="291"/>
      <c r="L131" s="288">
        <v>6</v>
      </c>
      <c r="M131" s="423" t="s">
        <v>1013</v>
      </c>
      <c r="N131" s="289" t="s">
        <v>1034</v>
      </c>
      <c r="O131" s="578">
        <v>2</v>
      </c>
      <c r="P131" s="447">
        <v>400000</v>
      </c>
      <c r="Q131" s="311">
        <f>O131*P131</f>
        <v>800000</v>
      </c>
      <c r="R131" s="1014"/>
      <c r="S131" s="655"/>
      <c r="T131" s="558">
        <f t="shared" si="7"/>
        <v>46173</v>
      </c>
      <c r="U131" s="539">
        <f t="shared" si="9"/>
        <v>628107.64860801236</v>
      </c>
      <c r="V131" s="921"/>
      <c r="W131" s="615">
        <v>46173</v>
      </c>
      <c r="X131" s="906"/>
      <c r="Y131" s="512"/>
      <c r="Z131" s="882"/>
    </row>
    <row r="132" spans="1:26" ht="14.25" customHeight="1">
      <c r="B132" s="288">
        <v>6</v>
      </c>
      <c r="C132" s="528"/>
      <c r="D132" s="325"/>
      <c r="E132" s="408"/>
      <c r="F132" s="454"/>
      <c r="G132" s="311"/>
      <c r="H132" s="704"/>
      <c r="I132" s="882"/>
      <c r="J132" s="882"/>
      <c r="K132" s="291"/>
      <c r="L132" s="288">
        <v>6</v>
      </c>
      <c r="M132" s="423" t="s">
        <v>1013</v>
      </c>
      <c r="N132" s="289"/>
      <c r="O132" s="578"/>
      <c r="P132" s="447"/>
      <c r="Q132" s="311"/>
      <c r="R132" s="1014"/>
      <c r="S132" s="655"/>
      <c r="T132" s="558" t="str">
        <f t="shared" si="7"/>
        <v/>
      </c>
      <c r="U132" s="539">
        <f t="shared" si="9"/>
        <v>0</v>
      </c>
      <c r="V132" s="921"/>
      <c r="W132" s="615"/>
      <c r="X132" s="906"/>
      <c r="Y132" s="512"/>
      <c r="Z132" s="882"/>
    </row>
    <row r="133" spans="1:26" ht="14.25" customHeight="1">
      <c r="B133" s="288">
        <v>6</v>
      </c>
      <c r="C133" s="528"/>
      <c r="D133" s="325"/>
      <c r="E133" s="408"/>
      <c r="F133" s="454"/>
      <c r="G133" s="311"/>
      <c r="H133" s="704"/>
      <c r="I133" s="882"/>
      <c r="J133" s="882"/>
      <c r="K133" s="291"/>
      <c r="L133" s="288">
        <v>6</v>
      </c>
      <c r="M133" s="423" t="s">
        <v>1013</v>
      </c>
      <c r="N133" s="289"/>
      <c r="O133" s="578"/>
      <c r="P133" s="447"/>
      <c r="Q133" s="311"/>
      <c r="R133" s="1014"/>
      <c r="S133" s="655"/>
      <c r="T133" s="558" t="str">
        <f t="shared" si="7"/>
        <v/>
      </c>
      <c r="U133" s="539">
        <f t="shared" si="9"/>
        <v>0</v>
      </c>
      <c r="V133" s="921"/>
      <c r="W133" s="615"/>
      <c r="X133" s="906"/>
      <c r="Y133" s="512"/>
      <c r="Z133" s="882"/>
    </row>
    <row r="134" spans="1:26" ht="14.25" customHeight="1">
      <c r="B134" s="288">
        <v>6</v>
      </c>
      <c r="C134" s="528"/>
      <c r="D134" s="325"/>
      <c r="E134" s="408"/>
      <c r="F134" s="454"/>
      <c r="G134" s="311"/>
      <c r="H134" s="704"/>
      <c r="I134" s="882"/>
      <c r="J134" s="882"/>
      <c r="K134" s="291"/>
      <c r="L134" s="288">
        <v>6</v>
      </c>
      <c r="M134" s="423" t="s">
        <v>1013</v>
      </c>
      <c r="N134" s="325" t="s">
        <v>1035</v>
      </c>
      <c r="O134" s="579">
        <v>1</v>
      </c>
      <c r="P134" s="454">
        <v>4972644</v>
      </c>
      <c r="Q134" s="290">
        <f t="shared" ref="Q134" si="11">P134*O134</f>
        <v>4972644</v>
      </c>
      <c r="R134" s="1014"/>
      <c r="S134" s="655"/>
      <c r="T134" s="558">
        <f t="shared" si="7"/>
        <v>46173</v>
      </c>
      <c r="U134" s="539">
        <f t="shared" si="9"/>
        <v>3904194.6627559266</v>
      </c>
      <c r="V134" s="921"/>
      <c r="W134" s="615">
        <v>46173</v>
      </c>
      <c r="X134" s="906"/>
      <c r="Y134" s="512"/>
      <c r="Z134" s="882"/>
    </row>
    <row r="135" spans="1:26" ht="14.25" customHeight="1">
      <c r="B135" s="288">
        <v>6</v>
      </c>
      <c r="C135" s="528"/>
      <c r="D135" s="325"/>
      <c r="E135" s="408"/>
      <c r="F135" s="454"/>
      <c r="G135" s="311"/>
      <c r="H135" s="704"/>
      <c r="I135" s="882"/>
      <c r="J135" s="882"/>
      <c r="K135" s="291"/>
      <c r="L135" s="288">
        <v>6</v>
      </c>
      <c r="M135" s="423" t="s">
        <v>1013</v>
      </c>
      <c r="N135" s="325"/>
      <c r="O135" s="408"/>
      <c r="P135" s="454"/>
      <c r="Q135" s="484"/>
      <c r="R135" s="1014"/>
      <c r="S135" s="655"/>
      <c r="T135" s="558" t="str">
        <f t="shared" si="7"/>
        <v/>
      </c>
      <c r="U135" s="539">
        <f t="shared" si="9"/>
        <v>0</v>
      </c>
      <c r="V135" s="921"/>
      <c r="W135" s="615"/>
      <c r="X135" s="906"/>
      <c r="Y135" s="512"/>
      <c r="Z135" s="882"/>
    </row>
    <row r="136" spans="1:26" ht="15" customHeight="1" thickBot="1">
      <c r="B136" s="292">
        <v>6</v>
      </c>
      <c r="C136" s="393"/>
      <c r="D136" s="294"/>
      <c r="E136" s="451"/>
      <c r="F136" s="448"/>
      <c r="G136" s="295"/>
      <c r="H136" s="703"/>
      <c r="I136" s="883"/>
      <c r="J136" s="883"/>
      <c r="K136" s="296"/>
      <c r="L136" s="292">
        <v>6</v>
      </c>
      <c r="M136" s="425" t="s">
        <v>1013</v>
      </c>
      <c r="N136" s="294"/>
      <c r="O136" s="451"/>
      <c r="P136" s="448"/>
      <c r="Q136" s="482"/>
      <c r="R136" s="1009"/>
      <c r="S136" s="651"/>
      <c r="T136" s="556" t="str">
        <f t="shared" ref="T136:T215" si="12">IF(W136&gt;1,EOMONTH(W136,0),"")</f>
        <v/>
      </c>
      <c r="U136" s="540"/>
      <c r="V136" s="922"/>
      <c r="W136" s="613"/>
      <c r="X136" s="907"/>
      <c r="Y136" s="510"/>
      <c r="Z136" s="883"/>
    </row>
    <row r="137" spans="1:26" ht="14.5" thickBot="1">
      <c r="A137" s="24"/>
      <c r="B137" s="280"/>
      <c r="C137" s="321"/>
      <c r="D137" s="298"/>
      <c r="E137" s="281"/>
      <c r="F137" s="449"/>
      <c r="G137" s="282"/>
      <c r="H137" s="700"/>
      <c r="I137" s="270"/>
      <c r="J137" s="270"/>
      <c r="K137" s="24"/>
      <c r="L137" s="280"/>
      <c r="M137" s="321"/>
      <c r="N137" s="298"/>
      <c r="O137" s="281"/>
      <c r="P137" s="449"/>
      <c r="Q137" s="479"/>
      <c r="R137" s="1015"/>
      <c r="S137" s="656"/>
      <c r="T137" s="559" t="str">
        <f t="shared" si="12"/>
        <v/>
      </c>
      <c r="U137" s="545"/>
      <c r="V137" s="516"/>
      <c r="W137" s="616"/>
      <c r="X137" s="340"/>
      <c r="Y137" s="508"/>
      <c r="Z137" s="270"/>
    </row>
    <row r="138" spans="1:26" ht="14.25" customHeight="1">
      <c r="B138" s="372">
        <v>7</v>
      </c>
      <c r="C138" s="299" t="s">
        <v>1036</v>
      </c>
      <c r="D138" s="373"/>
      <c r="E138" s="455"/>
      <c r="F138" s="461"/>
      <c r="G138" s="374"/>
      <c r="H138" s="705"/>
      <c r="I138" s="878">
        <f>SUM(G138:G145)</f>
        <v>0</v>
      </c>
      <c r="J138" s="878">
        <v>0</v>
      </c>
      <c r="K138" s="275"/>
      <c r="L138" s="372">
        <v>7</v>
      </c>
      <c r="M138" s="299" t="s">
        <v>1037</v>
      </c>
      <c r="N138" s="635" t="s">
        <v>1038</v>
      </c>
      <c r="O138" s="636">
        <v>0.5</v>
      </c>
      <c r="P138" s="461"/>
      <c r="Q138" s="374">
        <f>150000*O138</f>
        <v>75000</v>
      </c>
      <c r="R138" s="1016"/>
      <c r="S138" s="657"/>
      <c r="T138" s="560">
        <f t="shared" si="12"/>
        <v>46295</v>
      </c>
      <c r="U138" s="640">
        <f t="shared" ref="U138:U145" si="13">(Q138/$X$138*$J$138)</f>
        <v>0</v>
      </c>
      <c r="V138" s="917">
        <f>J138-SUM(U138:U145)</f>
        <v>0</v>
      </c>
      <c r="W138" s="617">
        <f>'Project Plan'!K289</f>
        <v>46279</v>
      </c>
      <c r="X138" s="887">
        <f>SUM(Q138:Q145)</f>
        <v>650000</v>
      </c>
      <c r="Y138" s="511"/>
      <c r="Z138" s="878">
        <f>I138-X138</f>
        <v>-650000</v>
      </c>
    </row>
    <row r="139" spans="1:26" ht="14.25" customHeight="1">
      <c r="B139" s="375">
        <v>7</v>
      </c>
      <c r="C139" s="376"/>
      <c r="D139" s="377"/>
      <c r="E139" s="399"/>
      <c r="F139" s="437"/>
      <c r="G139" s="378"/>
      <c r="H139" s="694"/>
      <c r="I139" s="879"/>
      <c r="J139" s="879"/>
      <c r="K139" s="278"/>
      <c r="L139" s="375">
        <v>7</v>
      </c>
      <c r="M139" s="376" t="s">
        <v>1037</v>
      </c>
      <c r="N139" s="376" t="s">
        <v>1039</v>
      </c>
      <c r="O139" s="583">
        <v>0.5</v>
      </c>
      <c r="P139" s="437"/>
      <c r="Q139" s="485">
        <f>150000*O139</f>
        <v>75000</v>
      </c>
      <c r="R139" s="1003"/>
      <c r="S139" s="646"/>
      <c r="T139" s="551">
        <f t="shared" si="12"/>
        <v>46295</v>
      </c>
      <c r="U139" s="535">
        <f t="shared" si="13"/>
        <v>0</v>
      </c>
      <c r="V139" s="918"/>
      <c r="W139" s="608">
        <f>W138+14</f>
        <v>46293</v>
      </c>
      <c r="X139" s="888"/>
      <c r="Y139" s="507"/>
      <c r="Z139" s="879"/>
    </row>
    <row r="140" spans="1:26" ht="14.25" customHeight="1">
      <c r="B140" s="375">
        <v>7</v>
      </c>
      <c r="C140" s="376"/>
      <c r="D140" s="377"/>
      <c r="E140" s="399"/>
      <c r="F140" s="437"/>
      <c r="G140" s="378"/>
      <c r="H140" s="694"/>
      <c r="I140" s="879"/>
      <c r="J140" s="879"/>
      <c r="K140" s="278"/>
      <c r="L140" s="375">
        <v>7</v>
      </c>
      <c r="M140" s="376" t="s">
        <v>1037</v>
      </c>
      <c r="N140" s="376"/>
      <c r="O140" s="573"/>
      <c r="P140" s="437"/>
      <c r="Q140" s="485"/>
      <c r="R140" s="1003"/>
      <c r="S140" s="646"/>
      <c r="T140" s="551" t="str">
        <f t="shared" si="12"/>
        <v/>
      </c>
      <c r="U140" s="535">
        <f t="shared" si="13"/>
        <v>0</v>
      </c>
      <c r="V140" s="918"/>
      <c r="W140" s="608"/>
      <c r="X140" s="888"/>
      <c r="Y140" s="507"/>
      <c r="Z140" s="879"/>
    </row>
    <row r="141" spans="1:26" ht="14.25" customHeight="1">
      <c r="B141" s="375">
        <v>7</v>
      </c>
      <c r="C141" s="376"/>
      <c r="D141" s="377"/>
      <c r="E141" s="399"/>
      <c r="F141" s="437"/>
      <c r="G141" s="378"/>
      <c r="H141" s="694"/>
      <c r="I141" s="879"/>
      <c r="J141" s="879"/>
      <c r="K141" s="278"/>
      <c r="L141" s="375">
        <v>7</v>
      </c>
      <c r="M141" s="376" t="s">
        <v>1037</v>
      </c>
      <c r="N141" s="376" t="s">
        <v>1040</v>
      </c>
      <c r="O141" s="573"/>
      <c r="P141" s="437"/>
      <c r="Q141" s="485">
        <v>500000</v>
      </c>
      <c r="R141" s="1003"/>
      <c r="S141" s="646"/>
      <c r="T141" s="551">
        <f t="shared" si="12"/>
        <v>46295</v>
      </c>
      <c r="U141" s="535">
        <f t="shared" si="13"/>
        <v>0</v>
      </c>
      <c r="V141" s="918"/>
      <c r="W141" s="608">
        <f>W139</f>
        <v>46293</v>
      </c>
      <c r="X141" s="888"/>
      <c r="Y141" s="507"/>
      <c r="Z141" s="879"/>
    </row>
    <row r="142" spans="1:26" ht="14.25" customHeight="1">
      <c r="B142" s="375">
        <v>7</v>
      </c>
      <c r="C142" s="376"/>
      <c r="D142" s="377"/>
      <c r="E142" s="399"/>
      <c r="F142" s="437"/>
      <c r="G142" s="378"/>
      <c r="H142" s="694"/>
      <c r="I142" s="879"/>
      <c r="J142" s="879"/>
      <c r="K142" s="278"/>
      <c r="L142" s="375">
        <v>7</v>
      </c>
      <c r="M142" s="376" t="s">
        <v>1037</v>
      </c>
      <c r="N142" s="377"/>
      <c r="O142" s="399"/>
      <c r="P142" s="437"/>
      <c r="Q142" s="485"/>
      <c r="R142" s="1003"/>
      <c r="S142" s="646"/>
      <c r="T142" s="551" t="str">
        <f t="shared" si="12"/>
        <v/>
      </c>
      <c r="U142" s="535">
        <f t="shared" si="13"/>
        <v>0</v>
      </c>
      <c r="V142" s="918"/>
      <c r="W142" s="608"/>
      <c r="X142" s="888"/>
      <c r="Y142" s="507"/>
      <c r="Z142" s="879"/>
    </row>
    <row r="143" spans="1:26" ht="14.25" customHeight="1">
      <c r="B143" s="375">
        <v>7</v>
      </c>
      <c r="C143" s="376"/>
      <c r="D143" s="377"/>
      <c r="E143" s="399"/>
      <c r="F143" s="437"/>
      <c r="G143" s="378"/>
      <c r="H143" s="694"/>
      <c r="I143" s="879"/>
      <c r="J143" s="879"/>
      <c r="K143" s="278"/>
      <c r="L143" s="375">
        <v>7</v>
      </c>
      <c r="M143" s="376" t="s">
        <v>1037</v>
      </c>
      <c r="N143" s="377"/>
      <c r="O143" s="399"/>
      <c r="P143" s="437"/>
      <c r="Q143" s="485"/>
      <c r="R143" s="1003"/>
      <c r="S143" s="646"/>
      <c r="T143" s="551" t="str">
        <f t="shared" si="12"/>
        <v/>
      </c>
      <c r="U143" s="535">
        <f t="shared" si="13"/>
        <v>0</v>
      </c>
      <c r="V143" s="918"/>
      <c r="W143" s="608"/>
      <c r="X143" s="888"/>
      <c r="Y143" s="507"/>
      <c r="Z143" s="879"/>
    </row>
    <row r="144" spans="1:26" ht="14.25" customHeight="1">
      <c r="B144" s="375">
        <v>7</v>
      </c>
      <c r="C144" s="376"/>
      <c r="D144" s="377"/>
      <c r="E144" s="399"/>
      <c r="F144" s="437"/>
      <c r="G144" s="378"/>
      <c r="H144" s="694"/>
      <c r="I144" s="879"/>
      <c r="J144" s="879"/>
      <c r="K144" s="278"/>
      <c r="L144" s="375">
        <v>7</v>
      </c>
      <c r="M144" s="376" t="s">
        <v>1037</v>
      </c>
      <c r="N144" s="377"/>
      <c r="O144" s="399"/>
      <c r="P144" s="437"/>
      <c r="Q144" s="485"/>
      <c r="R144" s="1003"/>
      <c r="S144" s="646"/>
      <c r="T144" s="551" t="str">
        <f t="shared" si="12"/>
        <v/>
      </c>
      <c r="U144" s="535">
        <f t="shared" si="13"/>
        <v>0</v>
      </c>
      <c r="V144" s="918"/>
      <c r="W144" s="608"/>
      <c r="X144" s="888"/>
      <c r="Y144" s="507"/>
      <c r="Z144" s="879"/>
    </row>
    <row r="145" spans="1:26" ht="15" customHeight="1" thickBot="1">
      <c r="B145" s="306">
        <v>7</v>
      </c>
      <c r="C145" s="327"/>
      <c r="D145" s="319"/>
      <c r="E145" s="308"/>
      <c r="F145" s="453"/>
      <c r="G145" s="320"/>
      <c r="H145" s="695"/>
      <c r="I145" s="880"/>
      <c r="J145" s="880"/>
      <c r="K145" s="279"/>
      <c r="L145" s="306">
        <v>7</v>
      </c>
      <c r="M145" s="327" t="s">
        <v>1037</v>
      </c>
      <c r="N145" s="319"/>
      <c r="O145" s="308"/>
      <c r="P145" s="453"/>
      <c r="Q145" s="476"/>
      <c r="R145" s="1011"/>
      <c r="S145" s="647"/>
      <c r="T145" s="552" t="str">
        <f t="shared" si="12"/>
        <v/>
      </c>
      <c r="U145" s="536">
        <f t="shared" si="13"/>
        <v>0</v>
      </c>
      <c r="V145" s="919"/>
      <c r="W145" s="609"/>
      <c r="X145" s="889"/>
      <c r="Y145" s="470"/>
      <c r="Z145" s="880"/>
    </row>
    <row r="146" spans="1:26" ht="14.5" thickBot="1">
      <c r="A146" s="24"/>
      <c r="B146" s="280"/>
      <c r="C146" s="321"/>
      <c r="D146" s="298"/>
      <c r="E146" s="281"/>
      <c r="F146" s="449"/>
      <c r="G146" s="282"/>
      <c r="H146" s="700"/>
      <c r="I146" s="270"/>
      <c r="J146" s="270"/>
      <c r="K146" s="24"/>
      <c r="L146" s="280"/>
      <c r="M146" s="321"/>
      <c r="N146" s="298"/>
      <c r="O146" s="281"/>
      <c r="P146" s="449"/>
      <c r="Q146" s="479"/>
      <c r="R146" s="1010"/>
      <c r="S146" s="652"/>
      <c r="T146" s="553" t="str">
        <f t="shared" si="12"/>
        <v/>
      </c>
      <c r="U146" s="541"/>
      <c r="V146" s="521"/>
      <c r="W146" s="610"/>
      <c r="X146" s="340"/>
      <c r="Y146" s="508"/>
      <c r="Z146" s="270"/>
    </row>
    <row r="147" spans="1:26" ht="14.25" customHeight="1">
      <c r="B147" s="322">
        <v>8</v>
      </c>
      <c r="C147" s="284" t="s">
        <v>1041</v>
      </c>
      <c r="D147" s="323" t="s">
        <v>553</v>
      </c>
      <c r="E147" s="456">
        <v>20</v>
      </c>
      <c r="F147" s="409">
        <v>12000</v>
      </c>
      <c r="G147" s="324">
        <f>E147*F147</f>
        <v>240000</v>
      </c>
      <c r="H147" s="706">
        <v>45736</v>
      </c>
      <c r="I147" s="881">
        <f>SUM(G147:G178)</f>
        <v>14386935</v>
      </c>
      <c r="J147" s="881">
        <f>253968.253968254+14435647.9591837</f>
        <v>14689616.213151954</v>
      </c>
      <c r="K147" s="287"/>
      <c r="L147" s="322">
        <v>8</v>
      </c>
      <c r="M147" s="418" t="s">
        <v>1042</v>
      </c>
      <c r="N147" s="323" t="s">
        <v>1043</v>
      </c>
      <c r="O147" s="637">
        <v>0.70909090909000005</v>
      </c>
      <c r="P147" s="409">
        <v>5500000</v>
      </c>
      <c r="Q147" s="324">
        <f>O147*P147</f>
        <v>3899999.9999950002</v>
      </c>
      <c r="R147" s="1012"/>
      <c r="S147" s="649" t="s">
        <v>1044</v>
      </c>
      <c r="T147" s="554">
        <v>46081</v>
      </c>
      <c r="U147" s="538">
        <f t="shared" ref="U147:U178" si="14">(Q147/$X$147*$J$147)</f>
        <v>3276267.749633736</v>
      </c>
      <c r="V147" s="914">
        <f>J147-SUM(U147:U178)</f>
        <v>0</v>
      </c>
      <c r="W147" s="568">
        <v>45736</v>
      </c>
      <c r="X147" s="905">
        <f>SUM(Q147:Q178)</f>
        <v>17486209.189595003</v>
      </c>
      <c r="Y147" s="509"/>
      <c r="Z147" s="881">
        <f>I147-X147</f>
        <v>-3099274.1895950027</v>
      </c>
    </row>
    <row r="148" spans="1:26" ht="14.25" customHeight="1">
      <c r="B148" s="312">
        <v>8</v>
      </c>
      <c r="C148" s="313"/>
      <c r="D148" s="325" t="s">
        <v>1045</v>
      </c>
      <c r="E148" s="408">
        <v>1</v>
      </c>
      <c r="F148" s="454">
        <v>750000</v>
      </c>
      <c r="G148" s="314">
        <f>F148*E148</f>
        <v>750000</v>
      </c>
      <c r="H148" s="707">
        <v>45827</v>
      </c>
      <c r="I148" s="882"/>
      <c r="J148" s="882"/>
      <c r="K148" s="291"/>
      <c r="L148" s="312">
        <v>8</v>
      </c>
      <c r="M148" s="426" t="s">
        <v>1042</v>
      </c>
      <c r="N148" s="325" t="s">
        <v>1043</v>
      </c>
      <c r="O148" s="638">
        <v>0.29090909090999995</v>
      </c>
      <c r="P148" s="454"/>
      <c r="Q148" s="314">
        <v>1500000</v>
      </c>
      <c r="R148" s="1008"/>
      <c r="S148" s="649" t="s">
        <v>1046</v>
      </c>
      <c r="T148" s="555">
        <v>46081</v>
      </c>
      <c r="U148" s="539">
        <f t="shared" si="14"/>
        <v>1260102.9806299754</v>
      </c>
      <c r="V148" s="915"/>
      <c r="W148" s="569">
        <v>45827</v>
      </c>
      <c r="X148" s="906"/>
      <c r="Y148" s="512"/>
      <c r="Z148" s="882"/>
    </row>
    <row r="149" spans="1:26" ht="14.25" customHeight="1">
      <c r="B149" s="312">
        <v>8</v>
      </c>
      <c r="C149" s="313"/>
      <c r="D149" s="325" t="s">
        <v>1047</v>
      </c>
      <c r="E149" s="408">
        <v>1</v>
      </c>
      <c r="F149" s="454">
        <v>1684291</v>
      </c>
      <c r="G149" s="314">
        <f t="shared" ref="G149" si="15">F149*E149</f>
        <v>1684291</v>
      </c>
      <c r="H149" s="707">
        <v>45930</v>
      </c>
      <c r="I149" s="882"/>
      <c r="J149" s="882"/>
      <c r="K149" s="291"/>
      <c r="L149" s="312">
        <v>8</v>
      </c>
      <c r="M149" s="426" t="s">
        <v>1042</v>
      </c>
      <c r="N149" s="325"/>
      <c r="O149" s="638"/>
      <c r="P149" s="454"/>
      <c r="Q149" s="314"/>
      <c r="R149" s="1008"/>
      <c r="S149" s="650"/>
      <c r="T149" s="555"/>
      <c r="U149" s="539">
        <f t="shared" si="14"/>
        <v>0</v>
      </c>
      <c r="V149" s="915"/>
      <c r="W149" s="612"/>
      <c r="X149" s="906"/>
      <c r="Y149" s="512"/>
      <c r="Z149" s="882"/>
    </row>
    <row r="150" spans="1:26" ht="14.25" customHeight="1">
      <c r="B150" s="312"/>
      <c r="C150" s="313"/>
      <c r="D150" s="325" t="s">
        <v>1048</v>
      </c>
      <c r="E150" s="408">
        <v>1</v>
      </c>
      <c r="F150" s="454">
        <v>440000</v>
      </c>
      <c r="G150" s="314">
        <f>F150*E150</f>
        <v>440000</v>
      </c>
      <c r="H150" s="707">
        <v>45930</v>
      </c>
      <c r="I150" s="882"/>
      <c r="J150" s="882"/>
      <c r="K150" s="291"/>
      <c r="L150" s="312">
        <v>8</v>
      </c>
      <c r="M150" s="426" t="s">
        <v>1042</v>
      </c>
      <c r="N150" s="325" t="s">
        <v>1049</v>
      </c>
      <c r="O150" s="579">
        <v>4</v>
      </c>
      <c r="P150" s="454">
        <f>5493769.92/4</f>
        <v>1373442.48</v>
      </c>
      <c r="Q150" s="314">
        <f>$O$150*$P$150*30%</f>
        <v>1648130.976</v>
      </c>
      <c r="R150" s="875" t="s">
        <v>1050</v>
      </c>
      <c r="S150" s="650" t="s">
        <v>1051</v>
      </c>
      <c r="T150" s="555">
        <v>46081</v>
      </c>
      <c r="U150" s="539">
        <f t="shared" si="14"/>
        <v>1384543.1702174605</v>
      </c>
      <c r="V150" s="915"/>
      <c r="W150" s="860">
        <v>46058</v>
      </c>
      <c r="X150" s="906"/>
      <c r="Y150" s="512"/>
      <c r="Z150" s="882"/>
    </row>
    <row r="151" spans="1:26" ht="14.25" customHeight="1">
      <c r="B151" s="312"/>
      <c r="C151" s="313"/>
      <c r="D151" s="325" t="s">
        <v>1052</v>
      </c>
      <c r="E151" s="408">
        <v>1</v>
      </c>
      <c r="F151" s="454">
        <v>5500000</v>
      </c>
      <c r="G151" s="314">
        <f>F151*E151</f>
        <v>5500000</v>
      </c>
      <c r="H151" s="707">
        <v>45930</v>
      </c>
      <c r="I151" s="882"/>
      <c r="J151" s="882"/>
      <c r="K151" s="291"/>
      <c r="L151" s="312">
        <v>8</v>
      </c>
      <c r="M151" s="426" t="s">
        <v>1042</v>
      </c>
      <c r="N151" s="325" t="s">
        <v>1053</v>
      </c>
      <c r="O151" s="579"/>
      <c r="P151" s="454"/>
      <c r="Q151" s="314">
        <f>$O$150*$P$150*20%</f>
        <v>1098753.9839999999</v>
      </c>
      <c r="R151" s="876"/>
      <c r="S151" s="650"/>
      <c r="T151" s="555">
        <v>46112</v>
      </c>
      <c r="U151" s="539">
        <f t="shared" si="14"/>
        <v>923028.78014497354</v>
      </c>
      <c r="V151" s="915"/>
      <c r="W151" s="612">
        <f>T151</f>
        <v>46112</v>
      </c>
      <c r="X151" s="906"/>
      <c r="Y151" s="512"/>
      <c r="Z151" s="882"/>
    </row>
    <row r="152" spans="1:26" ht="14.25" customHeight="1">
      <c r="B152" s="312"/>
      <c r="C152" s="313"/>
      <c r="D152" s="325"/>
      <c r="E152" s="408"/>
      <c r="F152" s="454"/>
      <c r="G152" s="314"/>
      <c r="H152" s="707">
        <v>45930</v>
      </c>
      <c r="I152" s="882"/>
      <c r="J152" s="882"/>
      <c r="K152" s="291"/>
      <c r="L152" s="312">
        <v>8</v>
      </c>
      <c r="M152" s="426" t="s">
        <v>1042</v>
      </c>
      <c r="N152" s="325" t="s">
        <v>1054</v>
      </c>
      <c r="O152" s="579"/>
      <c r="P152" s="454"/>
      <c r="Q152" s="314">
        <f>$O$150*$P$150*20%</f>
        <v>1098753.9839999999</v>
      </c>
      <c r="R152" s="876"/>
      <c r="S152" s="650"/>
      <c r="T152" s="555">
        <v>46142</v>
      </c>
      <c r="U152" s="539">
        <f t="shared" si="14"/>
        <v>923028.78014497354</v>
      </c>
      <c r="V152" s="915"/>
      <c r="W152" s="612">
        <f t="shared" ref="W152" si="16">T152</f>
        <v>46142</v>
      </c>
      <c r="X152" s="906"/>
      <c r="Y152" s="512"/>
      <c r="Z152" s="882"/>
    </row>
    <row r="153" spans="1:26" ht="14.25" customHeight="1">
      <c r="B153" s="312"/>
      <c r="C153" s="313"/>
      <c r="D153" s="325" t="s">
        <v>1035</v>
      </c>
      <c r="E153" s="408">
        <v>1</v>
      </c>
      <c r="F153" s="454">
        <v>4972644</v>
      </c>
      <c r="G153" s="314">
        <f>F153*E153</f>
        <v>4972644</v>
      </c>
      <c r="H153" s="707">
        <v>45930</v>
      </c>
      <c r="I153" s="882"/>
      <c r="J153" s="882"/>
      <c r="K153" s="291"/>
      <c r="L153" s="312">
        <v>8</v>
      </c>
      <c r="M153" s="426" t="s">
        <v>1042</v>
      </c>
      <c r="N153" s="325" t="s">
        <v>1055</v>
      </c>
      <c r="O153" s="579"/>
      <c r="P153" s="454"/>
      <c r="Q153" s="314">
        <f t="shared" ref="Q153" si="17">$O$150*$P$150*30%</f>
        <v>1648130.976</v>
      </c>
      <c r="R153" s="877"/>
      <c r="S153" s="650"/>
      <c r="T153" s="555">
        <v>46173</v>
      </c>
      <c r="U153" s="539">
        <f t="shared" si="14"/>
        <v>1384543.1702174605</v>
      </c>
      <c r="V153" s="915"/>
      <c r="W153" s="612">
        <f>T153+30</f>
        <v>46203</v>
      </c>
      <c r="X153" s="906"/>
      <c r="Y153" s="512"/>
      <c r="Z153" s="882"/>
    </row>
    <row r="154" spans="1:26" ht="14.25" customHeight="1">
      <c r="B154" s="312"/>
      <c r="C154" s="313"/>
      <c r="D154" s="325" t="s">
        <v>1034</v>
      </c>
      <c r="E154" s="408">
        <v>2</v>
      </c>
      <c r="F154" s="454">
        <v>400000</v>
      </c>
      <c r="G154" s="314">
        <f>F154*E154</f>
        <v>800000</v>
      </c>
      <c r="H154" s="707">
        <v>45930</v>
      </c>
      <c r="I154" s="882"/>
      <c r="J154" s="882"/>
      <c r="K154" s="291"/>
      <c r="L154" s="312">
        <v>8</v>
      </c>
      <c r="M154" s="426" t="s">
        <v>1042</v>
      </c>
      <c r="N154" s="325"/>
      <c r="O154" s="579"/>
      <c r="P154" s="454"/>
      <c r="Q154" s="314"/>
      <c r="R154" s="1008"/>
      <c r="S154" s="650"/>
      <c r="T154" s="555" t="str">
        <f t="shared" si="12"/>
        <v/>
      </c>
      <c r="U154" s="539">
        <f t="shared" si="14"/>
        <v>0</v>
      </c>
      <c r="V154" s="915"/>
      <c r="W154" s="612"/>
      <c r="X154" s="906"/>
      <c r="Y154" s="512"/>
      <c r="Z154" s="882"/>
    </row>
    <row r="155" spans="1:26" ht="14.25" customHeight="1">
      <c r="B155" s="312"/>
      <c r="C155" s="313"/>
      <c r="D155" s="325"/>
      <c r="E155" s="408"/>
      <c r="F155" s="454"/>
      <c r="G155" s="314"/>
      <c r="H155" s="707"/>
      <c r="I155" s="882"/>
      <c r="J155" s="882"/>
      <c r="K155" s="291"/>
      <c r="L155" s="312">
        <v>8</v>
      </c>
      <c r="M155" s="426" t="s">
        <v>1042</v>
      </c>
      <c r="N155" s="325" t="s">
        <v>1056</v>
      </c>
      <c r="O155" s="638">
        <v>0.5</v>
      </c>
      <c r="P155" s="454">
        <v>318220.94</v>
      </c>
      <c r="Q155" s="314">
        <f>O155*$P$155</f>
        <v>159110.47</v>
      </c>
      <c r="R155" s="875" t="s">
        <v>1057</v>
      </c>
      <c r="S155" s="650"/>
      <c r="T155" s="555">
        <v>46081</v>
      </c>
      <c r="U155" s="539">
        <f t="shared" si="14"/>
        <v>133663.71833095755</v>
      </c>
      <c r="V155" s="915"/>
      <c r="W155" s="612">
        <v>46081</v>
      </c>
      <c r="X155" s="906"/>
      <c r="Y155" s="512"/>
      <c r="Z155" s="882"/>
    </row>
    <row r="156" spans="1:26" ht="14.25" customHeight="1">
      <c r="B156" s="312"/>
      <c r="C156" s="313"/>
      <c r="D156" s="325"/>
      <c r="E156" s="408"/>
      <c r="F156" s="454"/>
      <c r="G156" s="314"/>
      <c r="H156" s="707"/>
      <c r="I156" s="882"/>
      <c r="J156" s="882"/>
      <c r="K156" s="291"/>
      <c r="L156" s="312">
        <v>8</v>
      </c>
      <c r="M156" s="426" t="s">
        <v>1042</v>
      </c>
      <c r="N156" s="325" t="s">
        <v>1058</v>
      </c>
      <c r="O156" s="638">
        <v>0.5</v>
      </c>
      <c r="P156" s="454"/>
      <c r="Q156" s="314">
        <f>O156*$P$155</f>
        <v>159110.47</v>
      </c>
      <c r="R156" s="877"/>
      <c r="S156" s="650"/>
      <c r="T156" s="555">
        <v>46142</v>
      </c>
      <c r="U156" s="539">
        <f t="shared" si="14"/>
        <v>133663.71833095755</v>
      </c>
      <c r="V156" s="915"/>
      <c r="W156" s="612">
        <f>W155+60</f>
        <v>46141</v>
      </c>
      <c r="X156" s="906"/>
      <c r="Y156" s="512"/>
      <c r="Z156" s="882"/>
    </row>
    <row r="157" spans="1:26" ht="14.25" customHeight="1">
      <c r="B157" s="312"/>
      <c r="C157" s="313"/>
      <c r="D157" s="325"/>
      <c r="E157" s="408"/>
      <c r="F157" s="454"/>
      <c r="G157" s="314"/>
      <c r="H157" s="707"/>
      <c r="I157" s="882"/>
      <c r="J157" s="882"/>
      <c r="K157" s="291"/>
      <c r="L157" s="312">
        <v>8</v>
      </c>
      <c r="M157" s="426" t="s">
        <v>1042</v>
      </c>
      <c r="N157" s="325"/>
      <c r="O157" s="579"/>
      <c r="P157" s="454"/>
      <c r="Q157" s="314"/>
      <c r="R157" s="1008"/>
      <c r="S157" s="650"/>
      <c r="T157" s="555" t="str">
        <f t="shared" si="12"/>
        <v/>
      </c>
      <c r="U157" s="539">
        <f t="shared" si="14"/>
        <v>0</v>
      </c>
      <c r="V157" s="915"/>
      <c r="W157" s="612"/>
      <c r="X157" s="906"/>
      <c r="Y157" s="512"/>
      <c r="Z157" s="882"/>
    </row>
    <row r="158" spans="1:26" ht="14.25" customHeight="1">
      <c r="B158" s="312"/>
      <c r="C158" s="313"/>
      <c r="D158" s="325"/>
      <c r="E158" s="408"/>
      <c r="F158" s="454"/>
      <c r="G158" s="314"/>
      <c r="H158" s="707"/>
      <c r="I158" s="882"/>
      <c r="J158" s="882"/>
      <c r="K158" s="291"/>
      <c r="L158" s="312">
        <v>8</v>
      </c>
      <c r="M158" s="426" t="s">
        <v>1042</v>
      </c>
      <c r="N158" s="325" t="s">
        <v>1314</v>
      </c>
      <c r="O158" s="638">
        <v>0.6</v>
      </c>
      <c r="P158" s="454">
        <f>1658713.46+250000</f>
        <v>1908713.46</v>
      </c>
      <c r="Q158" s="314">
        <f>P158*O158</f>
        <v>1145228.0759999999</v>
      </c>
      <c r="R158" s="1008"/>
      <c r="S158" s="650"/>
      <c r="T158" s="555">
        <v>46112</v>
      </c>
      <c r="U158" s="539">
        <f t="shared" si="14"/>
        <v>962070.20804582129</v>
      </c>
      <c r="V158" s="915"/>
      <c r="W158" s="612">
        <v>46081</v>
      </c>
      <c r="X158" s="906"/>
      <c r="Y158" s="512"/>
      <c r="Z158" s="882"/>
    </row>
    <row r="159" spans="1:26" ht="14.25" customHeight="1">
      <c r="B159" s="312"/>
      <c r="C159" s="313"/>
      <c r="D159" s="325"/>
      <c r="E159" s="408"/>
      <c r="F159" s="454"/>
      <c r="G159" s="314"/>
      <c r="H159" s="707"/>
      <c r="I159" s="882"/>
      <c r="J159" s="882"/>
      <c r="K159" s="291"/>
      <c r="L159" s="312">
        <v>8</v>
      </c>
      <c r="M159" s="426" t="s">
        <v>1042</v>
      </c>
      <c r="N159" s="325" t="s">
        <v>1059</v>
      </c>
      <c r="O159" s="638">
        <v>0.4</v>
      </c>
      <c r="P159" s="454"/>
      <c r="Q159" s="314">
        <f>P158*O159*40%</f>
        <v>305394.15360000002</v>
      </c>
      <c r="R159" s="1008"/>
      <c r="S159" s="650"/>
      <c r="T159" s="555">
        <v>46112</v>
      </c>
      <c r="U159" s="539">
        <f t="shared" si="14"/>
        <v>256552.05547888574</v>
      </c>
      <c r="V159" s="915"/>
      <c r="W159" s="612">
        <f>W158+30</f>
        <v>46111</v>
      </c>
      <c r="X159" s="906"/>
      <c r="Y159" s="512"/>
      <c r="Z159" s="882"/>
    </row>
    <row r="160" spans="1:26" ht="14.25" customHeight="1">
      <c r="B160" s="312"/>
      <c r="C160" s="313"/>
      <c r="D160" s="325"/>
      <c r="E160" s="408"/>
      <c r="F160" s="454"/>
      <c r="G160" s="314"/>
      <c r="H160" s="707"/>
      <c r="I160" s="882"/>
      <c r="J160" s="882"/>
      <c r="K160" s="291"/>
      <c r="L160" s="312">
        <v>8</v>
      </c>
      <c r="M160" s="426" t="s">
        <v>1042</v>
      </c>
      <c r="N160" s="325"/>
      <c r="O160" s="579"/>
      <c r="P160" s="454"/>
      <c r="Q160" s="314"/>
      <c r="R160" s="1008"/>
      <c r="S160" s="650"/>
      <c r="T160" s="555" t="str">
        <f t="shared" si="12"/>
        <v/>
      </c>
      <c r="U160" s="539">
        <f t="shared" si="14"/>
        <v>0</v>
      </c>
      <c r="V160" s="915"/>
      <c r="W160" s="612"/>
      <c r="X160" s="906"/>
      <c r="Y160" s="512"/>
      <c r="Z160" s="882"/>
    </row>
    <row r="161" spans="2:26" ht="14.25" customHeight="1">
      <c r="B161" s="312"/>
      <c r="C161" s="313"/>
      <c r="D161" s="325"/>
      <c r="E161" s="408"/>
      <c r="F161" s="454"/>
      <c r="G161" s="314"/>
      <c r="H161" s="707"/>
      <c r="I161" s="882"/>
      <c r="J161" s="882"/>
      <c r="K161" s="291"/>
      <c r="L161" s="312">
        <v>8</v>
      </c>
      <c r="M161" s="426" t="s">
        <v>1042</v>
      </c>
      <c r="N161" s="325" t="s">
        <v>1060</v>
      </c>
      <c r="O161" s="638">
        <v>0.7</v>
      </c>
      <c r="P161" s="454">
        <v>370205.5</v>
      </c>
      <c r="Q161" s="314">
        <f>O161*$P$161</f>
        <v>259143.84999999998</v>
      </c>
      <c r="R161" s="875" t="s">
        <v>1329</v>
      </c>
      <c r="S161" s="650"/>
      <c r="T161" s="555">
        <v>46112</v>
      </c>
      <c r="U161" s="539">
        <f t="shared" si="14"/>
        <v>217698.62519795151</v>
      </c>
      <c r="V161" s="915"/>
      <c r="W161" s="612">
        <v>46081</v>
      </c>
      <c r="X161" s="906"/>
      <c r="Y161" s="512"/>
      <c r="Z161" s="882"/>
    </row>
    <row r="162" spans="2:26" ht="14.25" customHeight="1">
      <c r="B162" s="312"/>
      <c r="C162" s="313"/>
      <c r="D162" s="325"/>
      <c r="E162" s="408"/>
      <c r="F162" s="454"/>
      <c r="G162" s="314"/>
      <c r="H162" s="707"/>
      <c r="I162" s="882"/>
      <c r="J162" s="882"/>
      <c r="K162" s="291"/>
      <c r="L162" s="312">
        <v>8</v>
      </c>
      <c r="M162" s="426" t="s">
        <v>1042</v>
      </c>
      <c r="N162" s="325" t="s">
        <v>1061</v>
      </c>
      <c r="O162" s="638">
        <v>0.3</v>
      </c>
      <c r="P162" s="454"/>
      <c r="Q162" s="314">
        <f>O162*$P$161</f>
        <v>111061.65</v>
      </c>
      <c r="R162" s="877"/>
      <c r="S162" s="650"/>
      <c r="T162" s="555">
        <v>46112</v>
      </c>
      <c r="U162" s="539">
        <f t="shared" si="14"/>
        <v>93299.410799122081</v>
      </c>
      <c r="V162" s="915"/>
      <c r="W162" s="612">
        <f>T162</f>
        <v>46112</v>
      </c>
      <c r="X162" s="906"/>
      <c r="Y162" s="512"/>
      <c r="Z162" s="882"/>
    </row>
    <row r="163" spans="2:26" ht="14.25" customHeight="1">
      <c r="B163" s="312"/>
      <c r="C163" s="313"/>
      <c r="D163" s="325"/>
      <c r="E163" s="408"/>
      <c r="F163" s="454"/>
      <c r="G163" s="314"/>
      <c r="H163" s="707"/>
      <c r="I163" s="882"/>
      <c r="J163" s="882"/>
      <c r="K163" s="291"/>
      <c r="L163" s="312">
        <v>8</v>
      </c>
      <c r="M163" s="426" t="s">
        <v>1042</v>
      </c>
      <c r="N163" s="325"/>
      <c r="O163" s="579"/>
      <c r="P163" s="454"/>
      <c r="Q163" s="314"/>
      <c r="R163" s="1008"/>
      <c r="S163" s="650"/>
      <c r="T163" s="555" t="str">
        <f t="shared" si="12"/>
        <v/>
      </c>
      <c r="U163" s="539">
        <f t="shared" si="14"/>
        <v>0</v>
      </c>
      <c r="V163" s="915"/>
      <c r="W163" s="612"/>
      <c r="X163" s="906"/>
      <c r="Y163" s="512"/>
      <c r="Z163" s="882"/>
    </row>
    <row r="164" spans="2:26" ht="14.25" customHeight="1">
      <c r="B164" s="312"/>
      <c r="C164" s="313"/>
      <c r="D164" s="325"/>
      <c r="E164" s="408"/>
      <c r="F164" s="454"/>
      <c r="G164" s="314"/>
      <c r="H164" s="707"/>
      <c r="I164" s="882"/>
      <c r="J164" s="882"/>
      <c r="K164" s="291"/>
      <c r="L164" s="312">
        <v>8</v>
      </c>
      <c r="M164" s="426" t="s">
        <v>1042</v>
      </c>
      <c r="N164" s="325" t="s">
        <v>1062</v>
      </c>
      <c r="O164" s="638">
        <v>0.6</v>
      </c>
      <c r="P164" s="454">
        <v>2061424</v>
      </c>
      <c r="Q164" s="314">
        <f>O164*$P$164</f>
        <v>1236854.3999999999</v>
      </c>
      <c r="R164" s="1008"/>
      <c r="S164" s="650"/>
      <c r="T164" s="555">
        <v>46081</v>
      </c>
      <c r="U164" s="539">
        <f t="shared" si="14"/>
        <v>1039042.6106968665</v>
      </c>
      <c r="V164" s="915"/>
      <c r="W164" s="612">
        <v>46079</v>
      </c>
      <c r="X164" s="906"/>
      <c r="Y164" s="512"/>
      <c r="Z164" s="882"/>
    </row>
    <row r="165" spans="2:26" ht="14.25" customHeight="1">
      <c r="B165" s="312"/>
      <c r="C165" s="313"/>
      <c r="D165" s="325"/>
      <c r="E165" s="408"/>
      <c r="F165" s="454"/>
      <c r="G165" s="314"/>
      <c r="H165" s="707"/>
      <c r="I165" s="882"/>
      <c r="J165" s="882"/>
      <c r="K165" s="291"/>
      <c r="L165" s="312">
        <v>8</v>
      </c>
      <c r="M165" s="426" t="s">
        <v>1042</v>
      </c>
      <c r="N165" s="325" t="s">
        <v>1063</v>
      </c>
      <c r="O165" s="638">
        <v>0.4</v>
      </c>
      <c r="P165" s="454"/>
      <c r="Q165" s="314">
        <f>O165*$P$164</f>
        <v>824569.60000000009</v>
      </c>
      <c r="R165" s="1008"/>
      <c r="S165" s="650"/>
      <c r="T165" s="555">
        <v>46142</v>
      </c>
      <c r="U165" s="539">
        <f t="shared" si="14"/>
        <v>692695.07379791117</v>
      </c>
      <c r="V165" s="915"/>
      <c r="W165" s="612">
        <f>T165</f>
        <v>46142</v>
      </c>
      <c r="X165" s="906"/>
      <c r="Y165" s="512"/>
      <c r="Z165" s="882"/>
    </row>
    <row r="166" spans="2:26" ht="14.25" customHeight="1">
      <c r="B166" s="312"/>
      <c r="C166" s="313"/>
      <c r="D166" s="325"/>
      <c r="E166" s="408"/>
      <c r="F166" s="454"/>
      <c r="G166" s="314"/>
      <c r="H166" s="707"/>
      <c r="I166" s="882"/>
      <c r="J166" s="882"/>
      <c r="K166" s="291"/>
      <c r="L166" s="312">
        <v>8</v>
      </c>
      <c r="M166" s="426" t="s">
        <v>1042</v>
      </c>
      <c r="N166" s="325"/>
      <c r="O166" s="579"/>
      <c r="P166" s="454"/>
      <c r="Q166" s="314"/>
      <c r="R166" s="1008"/>
      <c r="S166" s="650"/>
      <c r="T166" s="555"/>
      <c r="U166" s="539">
        <f t="shared" si="14"/>
        <v>0</v>
      </c>
      <c r="V166" s="915"/>
      <c r="W166" s="612"/>
      <c r="X166" s="906"/>
      <c r="Y166" s="512"/>
      <c r="Z166" s="882"/>
    </row>
    <row r="167" spans="2:26" ht="14.25" customHeight="1">
      <c r="B167" s="312"/>
      <c r="C167" s="313"/>
      <c r="D167" s="325"/>
      <c r="E167" s="408"/>
      <c r="F167" s="454"/>
      <c r="G167" s="314"/>
      <c r="H167" s="707"/>
      <c r="I167" s="882"/>
      <c r="J167" s="882"/>
      <c r="K167" s="291"/>
      <c r="L167" s="312">
        <v>8</v>
      </c>
      <c r="M167" s="426" t="s">
        <v>1042</v>
      </c>
      <c r="N167" s="325" t="s">
        <v>1064</v>
      </c>
      <c r="O167" s="638">
        <v>0.5</v>
      </c>
      <c r="P167" s="454">
        <v>701966.6</v>
      </c>
      <c r="Q167" s="314">
        <f>P167*O167</f>
        <v>350983.3</v>
      </c>
      <c r="R167" s="1008"/>
      <c r="S167" s="650"/>
      <c r="T167" s="555">
        <v>46081</v>
      </c>
      <c r="U167" s="539">
        <f t="shared" si="14"/>
        <v>294850.06832089653</v>
      </c>
      <c r="V167" s="915"/>
      <c r="W167" s="612">
        <v>46081</v>
      </c>
      <c r="X167" s="906"/>
      <c r="Y167" s="512"/>
      <c r="Z167" s="882"/>
    </row>
    <row r="168" spans="2:26" ht="14.25" customHeight="1">
      <c r="B168" s="312"/>
      <c r="C168" s="313"/>
      <c r="D168" s="325"/>
      <c r="E168" s="408"/>
      <c r="F168" s="454"/>
      <c r="G168" s="314"/>
      <c r="H168" s="707"/>
      <c r="I168" s="882"/>
      <c r="J168" s="882"/>
      <c r="K168" s="291"/>
      <c r="L168" s="312">
        <v>8</v>
      </c>
      <c r="M168" s="426" t="s">
        <v>1042</v>
      </c>
      <c r="N168" s="325" t="s">
        <v>1065</v>
      </c>
      <c r="O168" s="638">
        <v>0.5</v>
      </c>
      <c r="P168" s="454"/>
      <c r="Q168" s="314">
        <f>P167*O168</f>
        <v>350983.3</v>
      </c>
      <c r="R168" s="1008"/>
      <c r="S168" s="650"/>
      <c r="T168" s="555">
        <v>46142</v>
      </c>
      <c r="U168" s="539">
        <f t="shared" si="14"/>
        <v>294850.06832089653</v>
      </c>
      <c r="V168" s="915"/>
      <c r="W168" s="612">
        <v>46142</v>
      </c>
      <c r="X168" s="906"/>
      <c r="Y168" s="512"/>
      <c r="Z168" s="882"/>
    </row>
    <row r="169" spans="2:26" ht="14.25" customHeight="1">
      <c r="B169" s="312"/>
      <c r="C169" s="313"/>
      <c r="D169" s="325"/>
      <c r="E169" s="408"/>
      <c r="F169" s="454"/>
      <c r="G169" s="314"/>
      <c r="H169" s="707"/>
      <c r="I169" s="882"/>
      <c r="J169" s="882"/>
      <c r="K169" s="291"/>
      <c r="L169" s="312">
        <v>8</v>
      </c>
      <c r="M169" s="426" t="s">
        <v>1042</v>
      </c>
      <c r="N169" s="325"/>
      <c r="O169" s="638"/>
      <c r="P169" s="454"/>
      <c r="Q169" s="314"/>
      <c r="R169" s="1008"/>
      <c r="S169" s="650"/>
      <c r="T169" s="555"/>
      <c r="U169" s="539">
        <f t="shared" si="14"/>
        <v>0</v>
      </c>
      <c r="V169" s="915"/>
      <c r="W169" s="612"/>
      <c r="X169" s="906"/>
      <c r="Y169" s="512"/>
      <c r="Z169" s="882"/>
    </row>
    <row r="170" spans="2:26" ht="14.25" customHeight="1">
      <c r="B170" s="312">
        <v>8</v>
      </c>
      <c r="C170" s="313"/>
      <c r="D170" s="325"/>
      <c r="E170" s="408"/>
      <c r="F170" s="454"/>
      <c r="G170" s="314"/>
      <c r="H170" s="707"/>
      <c r="I170" s="882"/>
      <c r="J170" s="882"/>
      <c r="K170" s="291"/>
      <c r="L170" s="312">
        <v>8</v>
      </c>
      <c r="M170" s="426" t="s">
        <v>1042</v>
      </c>
      <c r="N170" s="325" t="s">
        <v>553</v>
      </c>
      <c r="O170" s="579">
        <v>20</v>
      </c>
      <c r="P170" s="454">
        <v>12000</v>
      </c>
      <c r="Q170" s="314">
        <v>240000</v>
      </c>
      <c r="R170" s="1008"/>
      <c r="S170" s="650"/>
      <c r="T170" s="555">
        <f t="shared" si="12"/>
        <v>46142</v>
      </c>
      <c r="U170" s="539">
        <f t="shared" si="14"/>
        <v>201616.47690079606</v>
      </c>
      <c r="V170" s="915"/>
      <c r="W170" s="612">
        <v>46142</v>
      </c>
      <c r="X170" s="906"/>
      <c r="Y170" s="512"/>
      <c r="Z170" s="882"/>
    </row>
    <row r="171" spans="2:26" ht="14.25" customHeight="1">
      <c r="B171" s="312">
        <v>8</v>
      </c>
      <c r="C171" s="313"/>
      <c r="D171" s="325"/>
      <c r="E171" s="408"/>
      <c r="F171" s="454"/>
      <c r="G171" s="314"/>
      <c r="H171" s="707"/>
      <c r="I171" s="882"/>
      <c r="J171" s="882"/>
      <c r="K171" s="291"/>
      <c r="L171" s="312">
        <v>8</v>
      </c>
      <c r="M171" s="426" t="s">
        <v>1042</v>
      </c>
      <c r="N171" s="325"/>
      <c r="O171" s="579"/>
      <c r="P171" s="454"/>
      <c r="Q171" s="290"/>
      <c r="R171" s="1014"/>
      <c r="S171" s="655"/>
      <c r="T171" s="558" t="str">
        <f t="shared" si="12"/>
        <v/>
      </c>
      <c r="U171" s="544">
        <f t="shared" si="14"/>
        <v>0</v>
      </c>
      <c r="V171" s="915"/>
      <c r="W171" s="615"/>
      <c r="X171" s="906"/>
      <c r="Y171" s="512"/>
      <c r="Z171" s="882"/>
    </row>
    <row r="172" spans="2:26" ht="14.25" customHeight="1">
      <c r="B172" s="312"/>
      <c r="C172" s="313"/>
      <c r="D172" s="325"/>
      <c r="E172" s="408"/>
      <c r="F172" s="454"/>
      <c r="G172" s="314"/>
      <c r="H172" s="707"/>
      <c r="I172" s="882"/>
      <c r="J172" s="882"/>
      <c r="K172" s="291"/>
      <c r="L172" s="312">
        <v>8</v>
      </c>
      <c r="M172" s="426" t="s">
        <v>1042</v>
      </c>
      <c r="N172" s="325"/>
      <c r="O172" s="579"/>
      <c r="P172" s="454"/>
      <c r="Q172" s="290"/>
      <c r="R172" s="1014"/>
      <c r="S172" s="655"/>
      <c r="T172" s="558"/>
      <c r="U172" s="544">
        <f t="shared" si="14"/>
        <v>0</v>
      </c>
      <c r="V172" s="915"/>
      <c r="W172" s="615"/>
      <c r="X172" s="906"/>
      <c r="Y172" s="512"/>
      <c r="Z172" s="882"/>
    </row>
    <row r="173" spans="2:26" ht="14.25" customHeight="1">
      <c r="B173" s="312"/>
      <c r="C173" s="313"/>
      <c r="D173" s="325"/>
      <c r="E173" s="408"/>
      <c r="F173" s="454"/>
      <c r="G173" s="314"/>
      <c r="H173" s="707"/>
      <c r="I173" s="882"/>
      <c r="J173" s="882"/>
      <c r="K173" s="291"/>
      <c r="L173" s="312">
        <v>8</v>
      </c>
      <c r="M173" s="426" t="s">
        <v>1042</v>
      </c>
      <c r="N173" s="325" t="s">
        <v>1066</v>
      </c>
      <c r="O173" s="638">
        <v>0.5</v>
      </c>
      <c r="P173" s="454">
        <v>250000</v>
      </c>
      <c r="Q173" s="290">
        <f>O173*$P$173</f>
        <v>125000</v>
      </c>
      <c r="R173" s="1014"/>
      <c r="S173" s="655"/>
      <c r="T173" s="558">
        <v>46112</v>
      </c>
      <c r="U173" s="544">
        <f t="shared" si="14"/>
        <v>105008.58171916463</v>
      </c>
      <c r="V173" s="915"/>
      <c r="W173" s="615">
        <f>T173-21</f>
        <v>46091</v>
      </c>
      <c r="X173" s="906"/>
      <c r="Y173" s="512"/>
      <c r="Z173" s="882"/>
    </row>
    <row r="174" spans="2:26" ht="14.25" customHeight="1">
      <c r="B174" s="312"/>
      <c r="C174" s="313"/>
      <c r="D174" s="325"/>
      <c r="E174" s="408"/>
      <c r="F174" s="454"/>
      <c r="G174" s="314"/>
      <c r="H174" s="707"/>
      <c r="I174" s="882"/>
      <c r="J174" s="882"/>
      <c r="K174" s="291"/>
      <c r="L174" s="312">
        <v>8</v>
      </c>
      <c r="M174" s="426" t="s">
        <v>1042</v>
      </c>
      <c r="N174" s="325" t="s">
        <v>1067</v>
      </c>
      <c r="O174" s="638">
        <v>0.5</v>
      </c>
      <c r="P174" s="454"/>
      <c r="Q174" s="290">
        <f>O174*$P$173</f>
        <v>125000</v>
      </c>
      <c r="R174" s="1014"/>
      <c r="S174" s="655"/>
      <c r="T174" s="558">
        <v>46112</v>
      </c>
      <c r="U174" s="544">
        <f t="shared" si="14"/>
        <v>105008.58171916463</v>
      </c>
      <c r="V174" s="915"/>
      <c r="W174" s="615">
        <f>T174</f>
        <v>46112</v>
      </c>
      <c r="X174" s="906"/>
      <c r="Y174" s="512"/>
      <c r="Z174" s="882"/>
    </row>
    <row r="175" spans="2:26" ht="14.25" customHeight="1">
      <c r="B175" s="312"/>
      <c r="C175" s="313"/>
      <c r="D175" s="325"/>
      <c r="E175" s="408"/>
      <c r="F175" s="454"/>
      <c r="G175" s="314"/>
      <c r="H175" s="707"/>
      <c r="I175" s="882"/>
      <c r="J175" s="882"/>
      <c r="K175" s="291"/>
      <c r="L175" s="312">
        <v>8</v>
      </c>
      <c r="M175" s="426" t="s">
        <v>1042</v>
      </c>
      <c r="N175" s="325"/>
      <c r="O175" s="579"/>
      <c r="P175" s="454"/>
      <c r="Q175" s="290"/>
      <c r="R175" s="1014"/>
      <c r="S175" s="655"/>
      <c r="T175" s="558"/>
      <c r="U175" s="544">
        <f t="shared" si="14"/>
        <v>0</v>
      </c>
      <c r="V175" s="915"/>
      <c r="W175" s="615"/>
      <c r="X175" s="906"/>
      <c r="Y175" s="512"/>
      <c r="Z175" s="882"/>
    </row>
    <row r="176" spans="2:26" ht="14.25" customHeight="1">
      <c r="B176" s="312">
        <v>8</v>
      </c>
      <c r="C176" s="313"/>
      <c r="D176" s="325"/>
      <c r="E176" s="408"/>
      <c r="F176" s="454"/>
      <c r="G176" s="314"/>
      <c r="H176" s="707"/>
      <c r="I176" s="882"/>
      <c r="J176" s="882"/>
      <c r="K176" s="291"/>
      <c r="L176" s="312">
        <v>8</v>
      </c>
      <c r="M176" s="426" t="s">
        <v>1042</v>
      </c>
      <c r="N176" s="289" t="s">
        <v>1068</v>
      </c>
      <c r="O176" s="578">
        <v>1</v>
      </c>
      <c r="P176" s="447">
        <v>1200000</v>
      </c>
      <c r="Q176" s="290">
        <f>P176*50%</f>
        <v>600000</v>
      </c>
      <c r="R176" s="1014"/>
      <c r="S176" s="655"/>
      <c r="T176" s="558">
        <f t="shared" si="12"/>
        <v>46142</v>
      </c>
      <c r="U176" s="544">
        <f t="shared" si="14"/>
        <v>504041.19225199014</v>
      </c>
      <c r="V176" s="915"/>
      <c r="W176" s="615">
        <v>46142</v>
      </c>
      <c r="X176" s="906"/>
      <c r="Y176" s="512"/>
      <c r="Z176" s="882"/>
    </row>
    <row r="177" spans="1:26" ht="14.25" customHeight="1">
      <c r="B177" s="312">
        <v>8</v>
      </c>
      <c r="C177" s="313"/>
      <c r="D177" s="325"/>
      <c r="E177" s="408"/>
      <c r="F177" s="454"/>
      <c r="G177" s="314"/>
      <c r="H177" s="707"/>
      <c r="I177" s="882"/>
      <c r="J177" s="882"/>
      <c r="K177" s="291"/>
      <c r="L177" s="312">
        <v>8</v>
      </c>
      <c r="M177" s="426" t="s">
        <v>1042</v>
      </c>
      <c r="N177" s="289" t="s">
        <v>1069</v>
      </c>
      <c r="O177" s="408"/>
      <c r="P177" s="454"/>
      <c r="Q177" s="290">
        <f>P176*50%</f>
        <v>600000</v>
      </c>
      <c r="R177" s="1014"/>
      <c r="S177" s="655"/>
      <c r="T177" s="558">
        <f t="shared" si="12"/>
        <v>46142</v>
      </c>
      <c r="U177" s="544">
        <f t="shared" si="14"/>
        <v>504041.19225199014</v>
      </c>
      <c r="V177" s="915"/>
      <c r="W177" s="615">
        <v>46142</v>
      </c>
      <c r="X177" s="906"/>
      <c r="Y177" s="512"/>
      <c r="Z177" s="882"/>
    </row>
    <row r="178" spans="1:26" ht="15" customHeight="1" thickBot="1">
      <c r="B178" s="312">
        <v>8</v>
      </c>
      <c r="C178" s="293"/>
      <c r="D178" s="294"/>
      <c r="E178" s="451"/>
      <c r="F178" s="448"/>
      <c r="G178" s="295"/>
      <c r="H178" s="703"/>
      <c r="I178" s="883"/>
      <c r="J178" s="883"/>
      <c r="K178" s="296"/>
      <c r="L178" s="292">
        <v>8</v>
      </c>
      <c r="M178" s="425" t="s">
        <v>1042</v>
      </c>
      <c r="N178" s="294"/>
      <c r="O178" s="451"/>
      <c r="P178" s="448"/>
      <c r="Q178" s="482"/>
      <c r="R178" s="1009"/>
      <c r="S178" s="651"/>
      <c r="T178" s="558" t="str">
        <f t="shared" si="12"/>
        <v/>
      </c>
      <c r="U178" s="540">
        <f t="shared" si="14"/>
        <v>0</v>
      </c>
      <c r="V178" s="916"/>
      <c r="W178" s="613"/>
      <c r="X178" s="907"/>
      <c r="Y178" s="510"/>
      <c r="Z178" s="883"/>
    </row>
    <row r="179" spans="1:26" ht="22.5" customHeight="1" thickBot="1">
      <c r="A179" s="24"/>
      <c r="B179" s="326"/>
      <c r="C179" s="155"/>
      <c r="D179" s="155"/>
      <c r="E179" s="155"/>
      <c r="F179" s="462"/>
      <c r="G179" s="155"/>
      <c r="H179" s="708"/>
      <c r="I179" s="432"/>
      <c r="J179" s="433"/>
      <c r="K179" s="155" t="s">
        <v>1070</v>
      </c>
      <c r="L179" s="326"/>
      <c r="M179" s="155"/>
      <c r="N179" s="155"/>
      <c r="O179" s="165"/>
      <c r="P179" s="462"/>
      <c r="Q179" s="155"/>
      <c r="R179" s="1017"/>
      <c r="S179" s="326"/>
      <c r="T179" s="561" t="str">
        <f t="shared" si="12"/>
        <v/>
      </c>
      <c r="U179" s="523"/>
      <c r="V179" s="523"/>
      <c r="W179" s="570"/>
      <c r="X179" s="432"/>
      <c r="Y179" s="326"/>
      <c r="Z179" s="491"/>
    </row>
    <row r="180" spans="1:26" ht="15" customHeight="1">
      <c r="B180" s="301">
        <v>9</v>
      </c>
      <c r="C180" s="435" t="s">
        <v>1071</v>
      </c>
      <c r="D180" s="317" t="s">
        <v>1072</v>
      </c>
      <c r="E180" s="304"/>
      <c r="F180" s="430"/>
      <c r="G180" s="305">
        <v>4724937</v>
      </c>
      <c r="H180" s="693">
        <v>45961</v>
      </c>
      <c r="I180" s="908">
        <f>SUM(G180:G216)</f>
        <v>12824829</v>
      </c>
      <c r="J180" s="878">
        <f>5135801.08695652+8804230.43478261</f>
        <v>13940031.521739129</v>
      </c>
      <c r="K180" s="278"/>
      <c r="L180" s="301">
        <v>9</v>
      </c>
      <c r="M180" s="416" t="s">
        <v>1073</v>
      </c>
      <c r="N180" s="317" t="s">
        <v>1337</v>
      </c>
      <c r="O180" s="998">
        <v>0.25</v>
      </c>
      <c r="P180" s="430">
        <v>0.3448859124087591</v>
      </c>
      <c r="Q180" s="305">
        <f>O180*$P$180*'Project Plan'!$J$3*1000</f>
        <v>1181234.25</v>
      </c>
      <c r="R180" s="873"/>
      <c r="S180" s="653"/>
      <c r="T180" s="557">
        <v>46081</v>
      </c>
      <c r="U180" s="542">
        <f t="shared" ref="U180:U215" si="18">(Q180/$X$180*$J$180)</f>
        <v>682090.94670379709</v>
      </c>
      <c r="V180" s="893">
        <f>J180-SUM(U180:U216)</f>
        <v>0</v>
      </c>
      <c r="W180" s="614">
        <f>T180</f>
        <v>46081</v>
      </c>
      <c r="X180" s="911">
        <f>SUM(Q180:Q216)</f>
        <v>24141124.815000001</v>
      </c>
      <c r="Y180" s="507"/>
      <c r="Z180" s="878">
        <f>I180-X180</f>
        <v>-11316295.815000001</v>
      </c>
    </row>
    <row r="181" spans="1:26" ht="15" customHeight="1">
      <c r="B181" s="301">
        <v>9</v>
      </c>
      <c r="C181" s="435"/>
      <c r="D181" s="318" t="s">
        <v>1074</v>
      </c>
      <c r="E181" s="304"/>
      <c r="F181" s="452"/>
      <c r="G181" s="305">
        <v>8099892</v>
      </c>
      <c r="H181" s="693">
        <v>45961</v>
      </c>
      <c r="I181" s="909"/>
      <c r="J181" s="879"/>
      <c r="K181" s="278"/>
      <c r="L181" s="301">
        <v>9</v>
      </c>
      <c r="M181" s="416" t="s">
        <v>1073</v>
      </c>
      <c r="N181" s="318" t="s">
        <v>1338</v>
      </c>
      <c r="O181" s="998">
        <v>0.125</v>
      </c>
      <c r="P181" s="452"/>
      <c r="Q181" s="305">
        <f>O181*$P$180*'Project Plan'!$J$3*1000</f>
        <v>590617.125</v>
      </c>
      <c r="R181" s="1004"/>
      <c r="S181" s="645"/>
      <c r="T181" s="550">
        <f>IF(W181&gt;1,EOMONTH(W181,0),"")</f>
        <v>46142</v>
      </c>
      <c r="U181" s="534">
        <f t="shared" si="18"/>
        <v>341045.47335189854</v>
      </c>
      <c r="V181" s="894"/>
      <c r="W181" s="607">
        <v>46142</v>
      </c>
      <c r="X181" s="912"/>
      <c r="Y181" s="507"/>
      <c r="Z181" s="879"/>
    </row>
    <row r="182" spans="1:26" ht="15" customHeight="1">
      <c r="B182" s="375">
        <v>9</v>
      </c>
      <c r="C182" s="529"/>
      <c r="D182" s="377"/>
      <c r="E182" s="399"/>
      <c r="F182" s="437"/>
      <c r="G182" s="378"/>
      <c r="H182" s="694"/>
      <c r="I182" s="909"/>
      <c r="J182" s="879"/>
      <c r="K182" s="278"/>
      <c r="L182" s="375">
        <v>9</v>
      </c>
      <c r="M182" s="530" t="s">
        <v>1073</v>
      </c>
      <c r="N182" s="318" t="s">
        <v>1339</v>
      </c>
      <c r="O182" s="998">
        <v>0.125</v>
      </c>
      <c r="P182" s="437"/>
      <c r="Q182" s="378">
        <f>O182*$P$180*'Project Plan'!$J$3*1000</f>
        <v>590617.125</v>
      </c>
      <c r="R182" s="1003"/>
      <c r="S182" s="646"/>
      <c r="T182" s="551">
        <f t="shared" si="12"/>
        <v>46173</v>
      </c>
      <c r="U182" s="535">
        <f t="shared" si="18"/>
        <v>341045.47335189854</v>
      </c>
      <c r="V182" s="894"/>
      <c r="W182" s="608">
        <v>46173</v>
      </c>
      <c r="X182" s="912"/>
      <c r="Y182" s="507"/>
      <c r="Z182" s="879"/>
    </row>
    <row r="183" spans="1:26" ht="15" customHeight="1">
      <c r="B183" s="375">
        <v>9</v>
      </c>
      <c r="C183" s="529"/>
      <c r="D183" s="377"/>
      <c r="E183" s="399"/>
      <c r="F183" s="437"/>
      <c r="G183" s="378"/>
      <c r="H183" s="694"/>
      <c r="I183" s="909"/>
      <c r="J183" s="879"/>
      <c r="K183" s="278"/>
      <c r="L183" s="375">
        <v>9</v>
      </c>
      <c r="M183" s="530" t="s">
        <v>1073</v>
      </c>
      <c r="N183" s="318" t="s">
        <v>1340</v>
      </c>
      <c r="O183" s="998">
        <v>0.125</v>
      </c>
      <c r="P183" s="437"/>
      <c r="Q183" s="378">
        <f>O183*$P$180*'Project Plan'!$J$3*1000</f>
        <v>590617.125</v>
      </c>
      <c r="R183" s="1003"/>
      <c r="S183" s="646"/>
      <c r="T183" s="551">
        <f t="shared" si="12"/>
        <v>46203</v>
      </c>
      <c r="U183" s="535">
        <f t="shared" si="18"/>
        <v>341045.47335189854</v>
      </c>
      <c r="V183" s="894"/>
      <c r="W183" s="607">
        <v>46203</v>
      </c>
      <c r="X183" s="912"/>
      <c r="Y183" s="507"/>
      <c r="Z183" s="879"/>
    </row>
    <row r="184" spans="1:26" ht="15" customHeight="1">
      <c r="B184" s="375"/>
      <c r="C184" s="529"/>
      <c r="D184" s="377"/>
      <c r="E184" s="399"/>
      <c r="F184" s="437"/>
      <c r="G184" s="378"/>
      <c r="H184" s="694"/>
      <c r="I184" s="909"/>
      <c r="J184" s="879"/>
      <c r="K184" s="278"/>
      <c r="L184" s="375">
        <v>9</v>
      </c>
      <c r="M184" s="530" t="s">
        <v>1073</v>
      </c>
      <c r="N184" s="318" t="s">
        <v>1341</v>
      </c>
      <c r="O184" s="998">
        <v>0.125</v>
      </c>
      <c r="P184" s="437"/>
      <c r="Q184" s="378">
        <f>O184*$P$180*'Project Plan'!$J$3*1000</f>
        <v>590617.125</v>
      </c>
      <c r="R184" s="1003"/>
      <c r="S184" s="646"/>
      <c r="T184" s="551">
        <f t="shared" ref="T184:T195" si="19">IF(W184&gt;1,EOMONTH(W184,0),"")</f>
        <v>46234</v>
      </c>
      <c r="U184" s="535">
        <f t="shared" ref="U184:U205" si="20">(Q184/$X$180*$J$180)</f>
        <v>341045.47335189854</v>
      </c>
      <c r="V184" s="894"/>
      <c r="W184" s="608">
        <v>46234</v>
      </c>
      <c r="X184" s="912"/>
      <c r="Y184" s="507"/>
      <c r="Z184" s="879"/>
    </row>
    <row r="185" spans="1:26" ht="15" customHeight="1">
      <c r="B185" s="375"/>
      <c r="C185" s="529"/>
      <c r="D185" s="377"/>
      <c r="E185" s="399"/>
      <c r="F185" s="437"/>
      <c r="G185" s="378"/>
      <c r="H185" s="694"/>
      <c r="I185" s="909"/>
      <c r="J185" s="879"/>
      <c r="K185" s="278"/>
      <c r="L185" s="375">
        <v>9</v>
      </c>
      <c r="M185" s="530" t="s">
        <v>1073</v>
      </c>
      <c r="N185" s="318" t="s">
        <v>1342</v>
      </c>
      <c r="O185" s="998">
        <v>0.19500000000000001</v>
      </c>
      <c r="P185" s="437"/>
      <c r="Q185" s="378">
        <f>O185*$P$180*'Project Plan'!$J$3*1000</f>
        <v>921362.71499999997</v>
      </c>
      <c r="R185" s="1003"/>
      <c r="S185" s="646"/>
      <c r="T185" s="551">
        <f t="shared" si="19"/>
        <v>46265</v>
      </c>
      <c r="U185" s="535">
        <f t="shared" si="20"/>
        <v>532030.93842896167</v>
      </c>
      <c r="V185" s="894"/>
      <c r="W185" s="607">
        <v>46265</v>
      </c>
      <c r="X185" s="912"/>
      <c r="Y185" s="507"/>
      <c r="Z185" s="879"/>
    </row>
    <row r="186" spans="1:26" ht="15" customHeight="1">
      <c r="B186" s="375"/>
      <c r="C186" s="529"/>
      <c r="D186" s="377"/>
      <c r="E186" s="399"/>
      <c r="F186" s="437"/>
      <c r="G186" s="378"/>
      <c r="H186" s="694"/>
      <c r="I186" s="909"/>
      <c r="J186" s="879"/>
      <c r="K186" s="278"/>
      <c r="L186" s="375">
        <v>9</v>
      </c>
      <c r="M186" s="530" t="s">
        <v>1073</v>
      </c>
      <c r="N186" s="318" t="s">
        <v>1343</v>
      </c>
      <c r="O186" s="1002">
        <v>2.5000000000000001E-2</v>
      </c>
      <c r="P186" s="437"/>
      <c r="Q186" s="378">
        <f>O186*$P$180*'Project Plan'!$J$3*1000</f>
        <v>118123.42499999999</v>
      </c>
      <c r="R186" s="1003"/>
      <c r="S186" s="646"/>
      <c r="T186" s="551">
        <f t="shared" si="19"/>
        <v>46295</v>
      </c>
      <c r="U186" s="535">
        <f t="shared" si="20"/>
        <v>68209.094670379709</v>
      </c>
      <c r="V186" s="894"/>
      <c r="W186" s="608">
        <v>46295</v>
      </c>
      <c r="X186" s="912"/>
      <c r="Y186" s="507"/>
      <c r="Z186" s="879"/>
    </row>
    <row r="187" spans="1:26" ht="15" customHeight="1">
      <c r="B187" s="375"/>
      <c r="C187" s="529"/>
      <c r="D187" s="377"/>
      <c r="E187" s="399"/>
      <c r="F187" s="437"/>
      <c r="G187" s="378"/>
      <c r="H187" s="694"/>
      <c r="I187" s="909"/>
      <c r="J187" s="879"/>
      <c r="K187" s="278"/>
      <c r="L187" s="375">
        <v>9</v>
      </c>
      <c r="M187" s="530" t="s">
        <v>1073</v>
      </c>
      <c r="N187" s="377" t="s">
        <v>1365</v>
      </c>
      <c r="O187" s="1001">
        <v>2.5000000000000001E-2</v>
      </c>
      <c r="P187" s="437"/>
      <c r="Q187" s="378">
        <f>O187*$P$180*'Project Plan'!$J$3*1000</f>
        <v>118123.42499999999</v>
      </c>
      <c r="R187" s="1003"/>
      <c r="S187" s="646"/>
      <c r="T187" s="551">
        <v>46630</v>
      </c>
      <c r="U187" s="535">
        <f t="shared" si="20"/>
        <v>68209.094670379709</v>
      </c>
      <c r="V187" s="894"/>
      <c r="W187" s="607">
        <f>T187</f>
        <v>46630</v>
      </c>
      <c r="X187" s="912"/>
      <c r="Y187" s="507"/>
      <c r="Z187" s="879"/>
    </row>
    <row r="188" spans="1:26" ht="15" customHeight="1">
      <c r="B188" s="375"/>
      <c r="C188" s="529"/>
      <c r="D188" s="377"/>
      <c r="E188" s="399"/>
      <c r="F188" s="437"/>
      <c r="G188" s="378"/>
      <c r="H188" s="694"/>
      <c r="I188" s="909"/>
      <c r="J188" s="879"/>
      <c r="K188" s="278"/>
      <c r="L188" s="375">
        <v>9</v>
      </c>
      <c r="M188" s="530" t="s">
        <v>1073</v>
      </c>
      <c r="N188" s="377"/>
      <c r="O188" s="999"/>
      <c r="P188" s="437"/>
      <c r="Q188" s="378"/>
      <c r="R188" s="1003"/>
      <c r="S188" s="646"/>
      <c r="T188" s="551" t="str">
        <f t="shared" ref="T188" si="21">IF(W188&gt;1,EOMONTH(W188,0),"")</f>
        <v/>
      </c>
      <c r="U188" s="535">
        <f t="shared" ref="U188" si="22">(Q188/$X$180*$J$180)</f>
        <v>0</v>
      </c>
      <c r="V188" s="894"/>
      <c r="W188" s="608"/>
      <c r="X188" s="912"/>
      <c r="Y188" s="507"/>
      <c r="Z188" s="879"/>
    </row>
    <row r="189" spans="1:26" ht="15" customHeight="1">
      <c r="B189" s="375"/>
      <c r="C189" s="529"/>
      <c r="D189" s="377"/>
      <c r="E189" s="399"/>
      <c r="F189" s="437"/>
      <c r="G189" s="378"/>
      <c r="H189" s="694"/>
      <c r="I189" s="909"/>
      <c r="J189" s="879"/>
      <c r="K189" s="278"/>
      <c r="L189" s="375">
        <v>9</v>
      </c>
      <c r="M189" s="530" t="s">
        <v>1073</v>
      </c>
      <c r="N189" s="377" t="s">
        <v>1344</v>
      </c>
      <c r="O189" s="999">
        <v>0.25</v>
      </c>
      <c r="P189" s="437">
        <v>1.36</v>
      </c>
      <c r="Q189" s="378">
        <f>O189*$P$189*10000*1000</f>
        <v>3400000.0000000005</v>
      </c>
      <c r="R189" s="1003"/>
      <c r="S189" s="646"/>
      <c r="T189" s="551">
        <v>46081</v>
      </c>
      <c r="U189" s="535">
        <f t="shared" si="20"/>
        <v>1963293.2407715998</v>
      </c>
      <c r="V189" s="894"/>
      <c r="W189" s="608">
        <f>T189</f>
        <v>46081</v>
      </c>
      <c r="X189" s="912"/>
      <c r="Y189" s="507"/>
      <c r="Z189" s="879"/>
    </row>
    <row r="190" spans="1:26" ht="15" customHeight="1">
      <c r="B190" s="375"/>
      <c r="C190" s="529"/>
      <c r="D190" s="377"/>
      <c r="E190" s="399"/>
      <c r="F190" s="437"/>
      <c r="G190" s="378"/>
      <c r="H190" s="694"/>
      <c r="I190" s="909"/>
      <c r="J190" s="879"/>
      <c r="K190" s="278"/>
      <c r="L190" s="375">
        <v>9</v>
      </c>
      <c r="M190" s="530" t="s">
        <v>1073</v>
      </c>
      <c r="N190" s="377" t="s">
        <v>1345</v>
      </c>
      <c r="O190" s="999">
        <v>0.125</v>
      </c>
      <c r="P190" s="437"/>
      <c r="Q190" s="378">
        <f>O190*$P$189*10000*1000</f>
        <v>1700000.0000000002</v>
      </c>
      <c r="R190" s="1003"/>
      <c r="S190" s="646"/>
      <c r="T190" s="551">
        <f t="shared" si="19"/>
        <v>46142</v>
      </c>
      <c r="U190" s="535">
        <f t="shared" si="20"/>
        <v>981646.62038579991</v>
      </c>
      <c r="V190" s="894"/>
      <c r="W190" s="608">
        <v>46142</v>
      </c>
      <c r="X190" s="912"/>
      <c r="Y190" s="507"/>
      <c r="Z190" s="879"/>
    </row>
    <row r="191" spans="1:26" ht="15" customHeight="1">
      <c r="B191" s="375"/>
      <c r="C191" s="529"/>
      <c r="D191" s="377"/>
      <c r="E191" s="399"/>
      <c r="F191" s="437"/>
      <c r="G191" s="378"/>
      <c r="H191" s="694"/>
      <c r="I191" s="909"/>
      <c r="J191" s="879"/>
      <c r="K191" s="278"/>
      <c r="L191" s="375">
        <v>9</v>
      </c>
      <c r="M191" s="530" t="s">
        <v>1073</v>
      </c>
      <c r="N191" s="377" t="s">
        <v>1346</v>
      </c>
      <c r="O191" s="999">
        <v>0.125</v>
      </c>
      <c r="P191" s="437"/>
      <c r="Q191" s="378">
        <f t="shared" ref="Q191:Q194" si="23">O191*$P$189*10000*1000</f>
        <v>1700000.0000000002</v>
      </c>
      <c r="R191" s="1003"/>
      <c r="S191" s="646"/>
      <c r="T191" s="551">
        <f t="shared" si="19"/>
        <v>46173</v>
      </c>
      <c r="U191" s="535">
        <f t="shared" si="20"/>
        <v>981646.62038579991</v>
      </c>
      <c r="V191" s="894"/>
      <c r="W191" s="608">
        <v>46173</v>
      </c>
      <c r="X191" s="912"/>
      <c r="Y191" s="507"/>
      <c r="Z191" s="879"/>
    </row>
    <row r="192" spans="1:26" ht="15" customHeight="1">
      <c r="B192" s="375"/>
      <c r="C192" s="529"/>
      <c r="D192" s="377"/>
      <c r="E192" s="399"/>
      <c r="F192" s="437"/>
      <c r="G192" s="378"/>
      <c r="H192" s="694"/>
      <c r="I192" s="909"/>
      <c r="J192" s="879"/>
      <c r="K192" s="278"/>
      <c r="L192" s="375">
        <v>9</v>
      </c>
      <c r="M192" s="530" t="s">
        <v>1073</v>
      </c>
      <c r="N192" s="377" t="s">
        <v>1347</v>
      </c>
      <c r="O192" s="999">
        <v>0.125</v>
      </c>
      <c r="P192" s="437"/>
      <c r="Q192" s="378">
        <f t="shared" si="23"/>
        <v>1700000.0000000002</v>
      </c>
      <c r="R192" s="1003"/>
      <c r="S192" s="646"/>
      <c r="T192" s="551">
        <f t="shared" si="19"/>
        <v>46203</v>
      </c>
      <c r="U192" s="535">
        <f t="shared" si="20"/>
        <v>981646.62038579991</v>
      </c>
      <c r="V192" s="894"/>
      <c r="W192" s="608">
        <v>46203</v>
      </c>
      <c r="X192" s="912"/>
      <c r="Y192" s="507"/>
      <c r="Z192" s="879"/>
    </row>
    <row r="193" spans="2:26" ht="15" customHeight="1">
      <c r="B193" s="375"/>
      <c r="C193" s="529"/>
      <c r="D193" s="377"/>
      <c r="E193" s="399"/>
      <c r="F193" s="437"/>
      <c r="G193" s="378"/>
      <c r="H193" s="694"/>
      <c r="I193" s="909"/>
      <c r="J193" s="879"/>
      <c r="K193" s="278"/>
      <c r="L193" s="375">
        <v>9</v>
      </c>
      <c r="M193" s="530" t="s">
        <v>1073</v>
      </c>
      <c r="N193" s="377" t="s">
        <v>1348</v>
      </c>
      <c r="O193" s="999">
        <v>0.125</v>
      </c>
      <c r="P193" s="437"/>
      <c r="Q193" s="378">
        <f t="shared" si="23"/>
        <v>1700000.0000000002</v>
      </c>
      <c r="R193" s="1003"/>
      <c r="S193" s="646"/>
      <c r="T193" s="551">
        <f t="shared" si="19"/>
        <v>46234</v>
      </c>
      <c r="U193" s="535">
        <f t="shared" si="20"/>
        <v>981646.62038579991</v>
      </c>
      <c r="V193" s="894"/>
      <c r="W193" s="608">
        <v>46234</v>
      </c>
      <c r="X193" s="912"/>
      <c r="Y193" s="507"/>
      <c r="Z193" s="879"/>
    </row>
    <row r="194" spans="2:26" ht="15" customHeight="1">
      <c r="B194" s="375"/>
      <c r="C194" s="529"/>
      <c r="D194" s="377"/>
      <c r="E194" s="399"/>
      <c r="F194" s="437"/>
      <c r="G194" s="378"/>
      <c r="H194" s="694"/>
      <c r="I194" s="909"/>
      <c r="J194" s="879"/>
      <c r="K194" s="278"/>
      <c r="L194" s="375">
        <v>9</v>
      </c>
      <c r="M194" s="530" t="s">
        <v>1073</v>
      </c>
      <c r="N194" s="377" t="s">
        <v>1349</v>
      </c>
      <c r="O194" s="999">
        <v>0.19500000000000001</v>
      </c>
      <c r="P194" s="437"/>
      <c r="Q194" s="378">
        <f t="shared" si="23"/>
        <v>2652000.0000000005</v>
      </c>
      <c r="R194" s="1003"/>
      <c r="S194" s="646"/>
      <c r="T194" s="551">
        <f t="shared" si="19"/>
        <v>46265</v>
      </c>
      <c r="U194" s="535">
        <f t="shared" si="20"/>
        <v>1531368.7278018482</v>
      </c>
      <c r="V194" s="894"/>
      <c r="W194" s="608">
        <v>46265</v>
      </c>
      <c r="X194" s="912"/>
      <c r="Y194" s="507"/>
      <c r="Z194" s="879"/>
    </row>
    <row r="195" spans="2:26" ht="15" customHeight="1">
      <c r="B195" s="375"/>
      <c r="C195" s="529"/>
      <c r="D195" s="377"/>
      <c r="E195" s="399"/>
      <c r="F195" s="437"/>
      <c r="G195" s="378"/>
      <c r="H195" s="694"/>
      <c r="I195" s="909"/>
      <c r="J195" s="879"/>
      <c r="K195" s="278"/>
      <c r="L195" s="375">
        <v>9</v>
      </c>
      <c r="M195" s="530" t="s">
        <v>1073</v>
      </c>
      <c r="N195" s="377" t="s">
        <v>1350</v>
      </c>
      <c r="O195" s="1002">
        <v>2.5000000000000001E-2</v>
      </c>
      <c r="P195" s="437"/>
      <c r="Q195" s="378">
        <f>O195*$P$189*10000*1000</f>
        <v>340000</v>
      </c>
      <c r="R195" s="1003"/>
      <c r="S195" s="646"/>
      <c r="T195" s="551">
        <f t="shared" si="19"/>
        <v>46295</v>
      </c>
      <c r="U195" s="535">
        <f t="shared" si="20"/>
        <v>196329.32407715995</v>
      </c>
      <c r="V195" s="894"/>
      <c r="W195" s="608">
        <v>46295</v>
      </c>
      <c r="X195" s="912"/>
      <c r="Y195" s="507"/>
      <c r="Z195" s="879"/>
    </row>
    <row r="196" spans="2:26" ht="15" customHeight="1">
      <c r="B196" s="375"/>
      <c r="C196" s="529"/>
      <c r="D196" s="377"/>
      <c r="E196" s="399"/>
      <c r="F196" s="437"/>
      <c r="G196" s="378"/>
      <c r="H196" s="694"/>
      <c r="I196" s="909"/>
      <c r="J196" s="879"/>
      <c r="K196" s="278"/>
      <c r="L196" s="375">
        <v>9</v>
      </c>
      <c r="M196" s="530" t="s">
        <v>1073</v>
      </c>
      <c r="N196" s="377" t="s">
        <v>1366</v>
      </c>
      <c r="O196" s="1001">
        <v>2.5000000000000001E-2</v>
      </c>
      <c r="P196" s="437"/>
      <c r="Q196" s="378">
        <f>O196*$P$189*10000*1000</f>
        <v>340000</v>
      </c>
      <c r="R196" s="1003"/>
      <c r="S196" s="646"/>
      <c r="T196" s="551">
        <v>46630</v>
      </c>
      <c r="U196" s="535">
        <f t="shared" si="20"/>
        <v>196329.32407715995</v>
      </c>
      <c r="V196" s="894"/>
      <c r="W196" s="607">
        <f>T196</f>
        <v>46630</v>
      </c>
      <c r="X196" s="912"/>
      <c r="Y196" s="507"/>
      <c r="Z196" s="879"/>
    </row>
    <row r="197" spans="2:26" ht="15" customHeight="1">
      <c r="B197" s="375"/>
      <c r="C197" s="529"/>
      <c r="D197" s="377"/>
      <c r="E197" s="399"/>
      <c r="F197" s="437"/>
      <c r="G197" s="378"/>
      <c r="H197" s="694"/>
      <c r="I197" s="909"/>
      <c r="J197" s="879"/>
      <c r="K197" s="278"/>
      <c r="L197" s="375">
        <v>9</v>
      </c>
      <c r="M197" s="530" t="s">
        <v>1073</v>
      </c>
      <c r="N197" s="377"/>
      <c r="O197" s="999"/>
      <c r="P197" s="437"/>
      <c r="Q197" s="378"/>
      <c r="R197" s="1003"/>
      <c r="S197" s="646"/>
      <c r="T197" s="551" t="str">
        <f t="shared" ref="T197" si="24">IF(W197&gt;1,EOMONTH(W197,0),"")</f>
        <v/>
      </c>
      <c r="U197" s="535">
        <f t="shared" ref="U197" si="25">(Q197/$X$180*$J$180)</f>
        <v>0</v>
      </c>
      <c r="V197" s="894"/>
      <c r="W197" s="608"/>
      <c r="X197" s="912"/>
      <c r="Y197" s="507"/>
      <c r="Z197" s="879"/>
    </row>
    <row r="198" spans="2:26" ht="15" customHeight="1">
      <c r="B198" s="375"/>
      <c r="C198" s="529"/>
      <c r="D198" s="377"/>
      <c r="E198" s="399"/>
      <c r="F198" s="437"/>
      <c r="G198" s="378"/>
      <c r="H198" s="694"/>
      <c r="I198" s="909"/>
      <c r="J198" s="879"/>
      <c r="K198" s="278"/>
      <c r="L198" s="375">
        <v>9</v>
      </c>
      <c r="M198" s="530" t="s">
        <v>1073</v>
      </c>
      <c r="N198" s="377" t="s">
        <v>1351</v>
      </c>
      <c r="O198" s="999">
        <v>0.25</v>
      </c>
      <c r="P198" s="437">
        <v>1.5</v>
      </c>
      <c r="Q198" s="378">
        <f>O198*$P$198*3500*1000</f>
        <v>1312500</v>
      </c>
      <c r="R198" s="1003"/>
      <c r="S198" s="646"/>
      <c r="T198" s="551">
        <v>46081</v>
      </c>
      <c r="U198" s="535">
        <f t="shared" si="20"/>
        <v>757888.93485668371</v>
      </c>
      <c r="V198" s="894"/>
      <c r="W198" s="608">
        <f>T198</f>
        <v>46081</v>
      </c>
      <c r="X198" s="912"/>
      <c r="Y198" s="507"/>
      <c r="Z198" s="879"/>
    </row>
    <row r="199" spans="2:26" ht="15" customHeight="1">
      <c r="B199" s="375"/>
      <c r="C199" s="529"/>
      <c r="D199" s="377"/>
      <c r="E199" s="399"/>
      <c r="F199" s="437"/>
      <c r="G199" s="378"/>
      <c r="H199" s="694"/>
      <c r="I199" s="909"/>
      <c r="J199" s="879"/>
      <c r="K199" s="278"/>
      <c r="L199" s="375">
        <v>9</v>
      </c>
      <c r="M199" s="530" t="s">
        <v>1073</v>
      </c>
      <c r="N199" s="377" t="s">
        <v>1352</v>
      </c>
      <c r="O199" s="999">
        <v>0.125</v>
      </c>
      <c r="P199" s="437"/>
      <c r="Q199" s="378">
        <f t="shared" ref="Q199:Q205" si="26">O199*$P$198*3500*1000</f>
        <v>656250</v>
      </c>
      <c r="R199" s="1003"/>
      <c r="S199" s="646"/>
      <c r="T199" s="551">
        <f>IF(W199&gt;1,EOMONTH(W199,0),"")</f>
        <v>46142</v>
      </c>
      <c r="U199" s="535">
        <f t="shared" si="20"/>
        <v>378944.46742834186</v>
      </c>
      <c r="V199" s="894"/>
      <c r="W199" s="608">
        <v>46142</v>
      </c>
      <c r="X199" s="912"/>
      <c r="Y199" s="507"/>
      <c r="Z199" s="879"/>
    </row>
    <row r="200" spans="2:26" ht="15" customHeight="1">
      <c r="B200" s="375"/>
      <c r="C200" s="529"/>
      <c r="D200" s="377"/>
      <c r="E200" s="399"/>
      <c r="F200" s="437"/>
      <c r="G200" s="378"/>
      <c r="H200" s="694"/>
      <c r="I200" s="909"/>
      <c r="J200" s="879"/>
      <c r="K200" s="278"/>
      <c r="L200" s="375">
        <v>9</v>
      </c>
      <c r="M200" s="530" t="s">
        <v>1073</v>
      </c>
      <c r="N200" s="377" t="s">
        <v>1353</v>
      </c>
      <c r="O200" s="999">
        <v>0.125</v>
      </c>
      <c r="P200" s="437"/>
      <c r="Q200" s="378">
        <f t="shared" si="26"/>
        <v>656250</v>
      </c>
      <c r="R200" s="1003"/>
      <c r="S200" s="646"/>
      <c r="T200" s="551">
        <f>IF(W200&gt;1,EOMONTH(W200,0),"")</f>
        <v>46173</v>
      </c>
      <c r="U200" s="535">
        <f t="shared" si="20"/>
        <v>378944.46742834186</v>
      </c>
      <c r="V200" s="894"/>
      <c r="W200" s="608">
        <v>46173</v>
      </c>
      <c r="X200" s="912"/>
      <c r="Y200" s="507"/>
      <c r="Z200" s="879"/>
    </row>
    <row r="201" spans="2:26" ht="15" customHeight="1">
      <c r="B201" s="375"/>
      <c r="C201" s="529"/>
      <c r="D201" s="377"/>
      <c r="E201" s="399"/>
      <c r="F201" s="437"/>
      <c r="G201" s="378"/>
      <c r="H201" s="694"/>
      <c r="I201" s="909"/>
      <c r="J201" s="879"/>
      <c r="K201" s="278"/>
      <c r="L201" s="375">
        <v>9</v>
      </c>
      <c r="M201" s="530" t="s">
        <v>1073</v>
      </c>
      <c r="N201" s="377" t="s">
        <v>1354</v>
      </c>
      <c r="O201" s="999">
        <v>0.125</v>
      </c>
      <c r="P201" s="437"/>
      <c r="Q201" s="378">
        <f t="shared" si="26"/>
        <v>656250</v>
      </c>
      <c r="R201" s="1003"/>
      <c r="S201" s="646"/>
      <c r="T201" s="551">
        <f>IF(W201&gt;1,EOMONTH(W201,0),"")</f>
        <v>46203</v>
      </c>
      <c r="U201" s="535">
        <f t="shared" si="20"/>
        <v>378944.46742834186</v>
      </c>
      <c r="V201" s="894"/>
      <c r="W201" s="608">
        <v>46203</v>
      </c>
      <c r="X201" s="912"/>
      <c r="Y201" s="507"/>
      <c r="Z201" s="879"/>
    </row>
    <row r="202" spans="2:26" ht="15" customHeight="1">
      <c r="B202" s="375"/>
      <c r="C202" s="529"/>
      <c r="D202" s="377"/>
      <c r="E202" s="399"/>
      <c r="F202" s="437"/>
      <c r="G202" s="378"/>
      <c r="H202" s="694"/>
      <c r="I202" s="909"/>
      <c r="J202" s="879"/>
      <c r="K202" s="278"/>
      <c r="L202" s="375">
        <v>9</v>
      </c>
      <c r="M202" s="530" t="s">
        <v>1073</v>
      </c>
      <c r="N202" s="377" t="s">
        <v>1355</v>
      </c>
      <c r="O202" s="999">
        <v>0.125</v>
      </c>
      <c r="P202" s="437"/>
      <c r="Q202" s="378">
        <f t="shared" si="26"/>
        <v>656250</v>
      </c>
      <c r="R202" s="1003"/>
      <c r="S202" s="646"/>
      <c r="T202" s="551">
        <f>IF(W202&gt;1,EOMONTH(W202,0),"")</f>
        <v>46234</v>
      </c>
      <c r="U202" s="535">
        <f t="shared" si="20"/>
        <v>378944.46742834186</v>
      </c>
      <c r="V202" s="894"/>
      <c r="W202" s="608">
        <v>46234</v>
      </c>
      <c r="X202" s="912"/>
      <c r="Y202" s="507"/>
      <c r="Z202" s="879"/>
    </row>
    <row r="203" spans="2:26" ht="15" customHeight="1">
      <c r="B203" s="375"/>
      <c r="C203" s="529"/>
      <c r="D203" s="377"/>
      <c r="E203" s="399"/>
      <c r="F203" s="437"/>
      <c r="G203" s="378"/>
      <c r="H203" s="694"/>
      <c r="I203" s="909"/>
      <c r="J203" s="879"/>
      <c r="K203" s="278"/>
      <c r="L203" s="375">
        <v>9</v>
      </c>
      <c r="M203" s="530" t="s">
        <v>1073</v>
      </c>
      <c r="N203" s="377" t="s">
        <v>1356</v>
      </c>
      <c r="O203" s="999">
        <v>0.19500000000000001</v>
      </c>
      <c r="P203" s="437"/>
      <c r="Q203" s="378">
        <f t="shared" si="26"/>
        <v>1023749.9999999999</v>
      </c>
      <c r="R203" s="1003"/>
      <c r="S203" s="646"/>
      <c r="T203" s="551">
        <f>IF(W203&gt;1,EOMONTH(W203,0),"")</f>
        <v>46265</v>
      </c>
      <c r="U203" s="535">
        <f t="shared" si="20"/>
        <v>591153.36918821326</v>
      </c>
      <c r="V203" s="894"/>
      <c r="W203" s="608">
        <v>46265</v>
      </c>
      <c r="X203" s="912"/>
      <c r="Y203" s="507"/>
      <c r="Z203" s="879"/>
    </row>
    <row r="204" spans="2:26" ht="15" customHeight="1">
      <c r="B204" s="375"/>
      <c r="C204" s="529"/>
      <c r="D204" s="377"/>
      <c r="E204" s="399"/>
      <c r="F204" s="437"/>
      <c r="G204" s="378"/>
      <c r="H204" s="694"/>
      <c r="I204" s="909"/>
      <c r="J204" s="879"/>
      <c r="K204" s="278"/>
      <c r="L204" s="375">
        <v>9</v>
      </c>
      <c r="M204" s="530" t="s">
        <v>1073</v>
      </c>
      <c r="N204" s="377" t="s">
        <v>1357</v>
      </c>
      <c r="O204" s="1002">
        <v>2.5000000000000001E-2</v>
      </c>
      <c r="P204" s="437"/>
      <c r="Q204" s="378">
        <f t="shared" si="26"/>
        <v>131250.00000000003</v>
      </c>
      <c r="R204" s="1003"/>
      <c r="S204" s="646"/>
      <c r="T204" s="551">
        <f>IF(W204&gt;1,EOMONTH(W204,0),"")</f>
        <v>46295</v>
      </c>
      <c r="U204" s="535">
        <f t="shared" si="20"/>
        <v>75788.893485668392</v>
      </c>
      <c r="V204" s="894"/>
      <c r="W204" s="608">
        <v>46295</v>
      </c>
      <c r="X204" s="912"/>
      <c r="Y204" s="507"/>
      <c r="Z204" s="879"/>
    </row>
    <row r="205" spans="2:26" ht="15" customHeight="1">
      <c r="B205" s="375"/>
      <c r="C205" s="529"/>
      <c r="D205" s="377"/>
      <c r="E205" s="399"/>
      <c r="F205" s="437"/>
      <c r="G205" s="378"/>
      <c r="H205" s="694"/>
      <c r="I205" s="909"/>
      <c r="J205" s="879"/>
      <c r="K205" s="278"/>
      <c r="L205" s="375">
        <v>9</v>
      </c>
      <c r="M205" s="530" t="s">
        <v>1073</v>
      </c>
      <c r="N205" s="377" t="s">
        <v>1367</v>
      </c>
      <c r="O205" s="1001">
        <v>2.5000000000000001E-2</v>
      </c>
      <c r="P205" s="437"/>
      <c r="Q205" s="378">
        <f t="shared" si="26"/>
        <v>131250.00000000003</v>
      </c>
      <c r="R205" s="1003"/>
      <c r="S205" s="646"/>
      <c r="T205" s="551">
        <v>46630</v>
      </c>
      <c r="U205" s="535">
        <f t="shared" si="20"/>
        <v>75788.893485668392</v>
      </c>
      <c r="V205" s="894"/>
      <c r="W205" s="607">
        <f>T205</f>
        <v>46630</v>
      </c>
      <c r="X205" s="912"/>
      <c r="Y205" s="507"/>
      <c r="Z205" s="879"/>
    </row>
    <row r="206" spans="2:26" ht="15" customHeight="1">
      <c r="B206" s="375"/>
      <c r="C206" s="529"/>
      <c r="D206" s="377"/>
      <c r="E206" s="399"/>
      <c r="F206" s="437"/>
      <c r="G206" s="378"/>
      <c r="H206" s="694"/>
      <c r="I206" s="909"/>
      <c r="J206" s="879"/>
      <c r="K206" s="278"/>
      <c r="L206" s="375">
        <v>9</v>
      </c>
      <c r="M206" s="530" t="s">
        <v>1073</v>
      </c>
      <c r="N206" s="377"/>
      <c r="O206" s="999"/>
      <c r="P206" s="437"/>
      <c r="Q206" s="378"/>
      <c r="R206" s="1003"/>
      <c r="S206" s="646"/>
      <c r="T206" s="551" t="str">
        <f t="shared" ref="T206" si="27">IF(W206&gt;1,EOMONTH(W206,0),"")</f>
        <v/>
      </c>
      <c r="U206" s="535">
        <f t="shared" ref="U206" si="28">(Q206/$X$180*$J$180)</f>
        <v>0</v>
      </c>
      <c r="V206" s="894"/>
      <c r="W206" s="608"/>
      <c r="X206" s="912"/>
      <c r="Y206" s="507"/>
      <c r="Z206" s="879"/>
    </row>
    <row r="207" spans="2:26" ht="15" customHeight="1">
      <c r="B207" s="375">
        <v>9</v>
      </c>
      <c r="C207" s="529"/>
      <c r="D207" s="377"/>
      <c r="E207" s="399"/>
      <c r="F207" s="437"/>
      <c r="G207" s="378"/>
      <c r="H207" s="694"/>
      <c r="I207" s="909"/>
      <c r="J207" s="879"/>
      <c r="K207" s="278"/>
      <c r="L207" s="375">
        <v>9</v>
      </c>
      <c r="M207" s="530" t="s">
        <v>1073</v>
      </c>
      <c r="N207" s="377" t="s">
        <v>1358</v>
      </c>
      <c r="O207" s="999">
        <v>0.25</v>
      </c>
      <c r="P207" s="437">
        <v>2.75</v>
      </c>
      <c r="Q207" s="378">
        <f>O207*$P$207*250*1000</f>
        <v>171875</v>
      </c>
      <c r="R207" s="1003"/>
      <c r="S207" s="646"/>
      <c r="T207" s="551">
        <v>46081</v>
      </c>
      <c r="U207" s="535">
        <f t="shared" si="18"/>
        <v>99247.360516946675</v>
      </c>
      <c r="V207" s="894"/>
      <c r="W207" s="608">
        <f>T207</f>
        <v>46081</v>
      </c>
      <c r="X207" s="912"/>
      <c r="Y207" s="507"/>
      <c r="Z207" s="879"/>
    </row>
    <row r="208" spans="2:26" ht="15" customHeight="1">
      <c r="B208" s="375">
        <v>9</v>
      </c>
      <c r="C208" s="529"/>
      <c r="D208" s="377"/>
      <c r="E208" s="399"/>
      <c r="F208" s="437"/>
      <c r="G208" s="378"/>
      <c r="H208" s="694"/>
      <c r="I208" s="909"/>
      <c r="J208" s="879"/>
      <c r="K208" s="278"/>
      <c r="L208" s="375">
        <v>9</v>
      </c>
      <c r="M208" s="530" t="s">
        <v>1073</v>
      </c>
      <c r="N208" s="377" t="s">
        <v>1359</v>
      </c>
      <c r="O208" s="999">
        <v>0.125</v>
      </c>
      <c r="P208" s="437"/>
      <c r="Q208" s="378">
        <f t="shared" ref="Q208:Q212" si="29">O208*$P$207*250*1000</f>
        <v>85937.5</v>
      </c>
      <c r="R208" s="1003"/>
      <c r="S208" s="646"/>
      <c r="T208" s="551">
        <f>IF(W208&gt;1,EOMONTH(W208,0),"")</f>
        <v>46142</v>
      </c>
      <c r="U208" s="535">
        <f t="shared" si="18"/>
        <v>49623.680258473338</v>
      </c>
      <c r="V208" s="894"/>
      <c r="W208" s="608">
        <v>46142</v>
      </c>
      <c r="X208" s="912"/>
      <c r="Y208" s="507"/>
      <c r="Z208" s="879"/>
    </row>
    <row r="209" spans="1:26" ht="15" customHeight="1">
      <c r="B209" s="375">
        <v>9</v>
      </c>
      <c r="C209" s="529"/>
      <c r="D209" s="377"/>
      <c r="E209" s="399"/>
      <c r="F209" s="437"/>
      <c r="G209" s="378"/>
      <c r="H209" s="694"/>
      <c r="I209" s="909"/>
      <c r="J209" s="879"/>
      <c r="K209" s="278"/>
      <c r="L209" s="375">
        <v>9</v>
      </c>
      <c r="M209" s="530" t="s">
        <v>1073</v>
      </c>
      <c r="N209" s="377" t="s">
        <v>1360</v>
      </c>
      <c r="O209" s="999">
        <v>0.125</v>
      </c>
      <c r="P209" s="437"/>
      <c r="Q209" s="378">
        <f t="shared" si="29"/>
        <v>85937.5</v>
      </c>
      <c r="R209" s="1003"/>
      <c r="S209" s="646"/>
      <c r="T209" s="551">
        <f>IF(W209&gt;1,EOMONTH(W209,0),"")</f>
        <v>46173</v>
      </c>
      <c r="U209" s="535">
        <f t="shared" si="18"/>
        <v>49623.680258473338</v>
      </c>
      <c r="V209" s="894"/>
      <c r="W209" s="608">
        <v>46173</v>
      </c>
      <c r="X209" s="912"/>
      <c r="Y209" s="507"/>
      <c r="Z209" s="879"/>
    </row>
    <row r="210" spans="1:26" ht="15" customHeight="1">
      <c r="B210" s="375">
        <v>9</v>
      </c>
      <c r="C210" s="529"/>
      <c r="D210" s="377"/>
      <c r="E210" s="399"/>
      <c r="F210" s="437"/>
      <c r="G210" s="378"/>
      <c r="H210" s="694"/>
      <c r="I210" s="909"/>
      <c r="J210" s="879"/>
      <c r="K210" s="278"/>
      <c r="L210" s="375">
        <v>9</v>
      </c>
      <c r="M210" s="530" t="s">
        <v>1073</v>
      </c>
      <c r="N210" s="377" t="s">
        <v>1361</v>
      </c>
      <c r="O210" s="999">
        <v>0.125</v>
      </c>
      <c r="P210" s="437"/>
      <c r="Q210" s="378">
        <f t="shared" si="29"/>
        <v>85937.5</v>
      </c>
      <c r="R210" s="1003"/>
      <c r="S210" s="646"/>
      <c r="T210" s="551">
        <f>IF(W210&gt;1,EOMONTH(W210,0),"")</f>
        <v>46203</v>
      </c>
      <c r="U210" s="535">
        <f t="shared" si="18"/>
        <v>49623.680258473338</v>
      </c>
      <c r="V210" s="894"/>
      <c r="W210" s="608">
        <v>46203</v>
      </c>
      <c r="X210" s="912"/>
      <c r="Y210" s="507"/>
      <c r="Z210" s="879"/>
    </row>
    <row r="211" spans="1:26" ht="15" customHeight="1">
      <c r="B211" s="375">
        <v>9</v>
      </c>
      <c r="C211" s="529"/>
      <c r="D211" s="377"/>
      <c r="E211" s="399"/>
      <c r="F211" s="437"/>
      <c r="G211" s="378"/>
      <c r="H211" s="694"/>
      <c r="I211" s="909"/>
      <c r="J211" s="879"/>
      <c r="K211" s="278"/>
      <c r="L211" s="375">
        <v>9</v>
      </c>
      <c r="M211" s="530" t="s">
        <v>1073</v>
      </c>
      <c r="N211" s="377" t="s">
        <v>1362</v>
      </c>
      <c r="O211" s="999">
        <v>0.125</v>
      </c>
      <c r="P211" s="437"/>
      <c r="Q211" s="378">
        <f t="shared" si="29"/>
        <v>85937.5</v>
      </c>
      <c r="R211" s="1003"/>
      <c r="S211" s="646"/>
      <c r="T211" s="551">
        <f>IF(W211&gt;1,EOMONTH(W211,0),"")</f>
        <v>46234</v>
      </c>
      <c r="U211" s="535">
        <f t="shared" si="18"/>
        <v>49623.680258473338</v>
      </c>
      <c r="V211" s="894"/>
      <c r="W211" s="608">
        <v>46234</v>
      </c>
      <c r="X211" s="912"/>
      <c r="Y211" s="507"/>
      <c r="Z211" s="879"/>
    </row>
    <row r="212" spans="1:26" ht="15" customHeight="1">
      <c r="B212" s="375">
        <v>9</v>
      </c>
      <c r="C212" s="529"/>
      <c r="D212" s="377"/>
      <c r="E212" s="399"/>
      <c r="F212" s="437"/>
      <c r="G212" s="378"/>
      <c r="H212" s="694"/>
      <c r="I212" s="909"/>
      <c r="J212" s="879"/>
      <c r="K212" s="278"/>
      <c r="L212" s="375">
        <v>9</v>
      </c>
      <c r="M212" s="530" t="s">
        <v>1073</v>
      </c>
      <c r="N212" s="377" t="s">
        <v>1363</v>
      </c>
      <c r="O212" s="999">
        <v>0.19500000000000001</v>
      </c>
      <c r="P212" s="437"/>
      <c r="Q212" s="378">
        <f t="shared" si="29"/>
        <v>134062.5</v>
      </c>
      <c r="R212" s="1003"/>
      <c r="S212" s="646"/>
      <c r="T212" s="551">
        <f>IF(W212&gt;1,EOMONTH(W212,0),"")</f>
        <v>46265</v>
      </c>
      <c r="U212" s="535">
        <f t="shared" si="18"/>
        <v>77412.941203218405</v>
      </c>
      <c r="V212" s="894"/>
      <c r="W212" s="608">
        <v>46265</v>
      </c>
      <c r="X212" s="912"/>
      <c r="Y212" s="507"/>
      <c r="Z212" s="879"/>
    </row>
    <row r="213" spans="1:26" ht="15" customHeight="1">
      <c r="B213" s="375">
        <v>9</v>
      </c>
      <c r="C213" s="529"/>
      <c r="D213" s="377"/>
      <c r="E213" s="399"/>
      <c r="F213" s="437"/>
      <c r="G213" s="378"/>
      <c r="H213" s="694"/>
      <c r="I213" s="909"/>
      <c r="J213" s="879"/>
      <c r="K213" s="278"/>
      <c r="L213" s="375">
        <v>9</v>
      </c>
      <c r="M213" s="530" t="s">
        <v>1073</v>
      </c>
      <c r="N213" s="377" t="s">
        <v>1364</v>
      </c>
      <c r="O213" s="1002">
        <v>2.5000000000000001E-2</v>
      </c>
      <c r="P213" s="437"/>
      <c r="Q213" s="378">
        <f>O213*$P$207*250*1000</f>
        <v>17187.5</v>
      </c>
      <c r="R213" s="1003"/>
      <c r="S213" s="646"/>
      <c r="T213" s="551">
        <f>IF(W213&gt;1,EOMONTH(W213,0),"")</f>
        <v>46295</v>
      </c>
      <c r="U213" s="535">
        <f t="shared" si="18"/>
        <v>9924.7360516946683</v>
      </c>
      <c r="V213" s="894"/>
      <c r="W213" s="608">
        <v>46295</v>
      </c>
      <c r="X213" s="912"/>
      <c r="Y213" s="507"/>
      <c r="Z213" s="879"/>
    </row>
    <row r="214" spans="1:26" ht="15" customHeight="1">
      <c r="B214" s="375">
        <v>9</v>
      </c>
      <c r="C214" s="529"/>
      <c r="D214" s="377"/>
      <c r="E214" s="399"/>
      <c r="F214" s="437"/>
      <c r="G214" s="378"/>
      <c r="H214" s="694"/>
      <c r="I214" s="909"/>
      <c r="J214" s="879"/>
      <c r="K214" s="278"/>
      <c r="L214" s="375">
        <v>9</v>
      </c>
      <c r="M214" s="530" t="s">
        <v>1073</v>
      </c>
      <c r="N214" s="377" t="s">
        <v>1368</v>
      </c>
      <c r="O214" s="1001">
        <v>2.5000000000000001E-2</v>
      </c>
      <c r="P214" s="452"/>
      <c r="Q214" s="378">
        <f>O214*$P$207*250*1000</f>
        <v>17187.5</v>
      </c>
      <c r="R214" s="1003"/>
      <c r="S214" s="646"/>
      <c r="T214" s="551">
        <v>46630</v>
      </c>
      <c r="U214" s="535">
        <f t="shared" si="18"/>
        <v>9924.7360516946683</v>
      </c>
      <c r="V214" s="894"/>
      <c r="W214" s="607">
        <f>T214</f>
        <v>46630</v>
      </c>
      <c r="X214" s="912"/>
      <c r="Y214" s="507"/>
      <c r="Z214" s="879"/>
    </row>
    <row r="215" spans="1:26" ht="15" customHeight="1">
      <c r="B215" s="375">
        <v>9</v>
      </c>
      <c r="C215" s="529"/>
      <c r="D215" s="377"/>
      <c r="E215" s="399"/>
      <c r="F215" s="437"/>
      <c r="G215" s="378"/>
      <c r="H215" s="694"/>
      <c r="I215" s="909"/>
      <c r="J215" s="879"/>
      <c r="K215" s="278"/>
      <c r="L215" s="375">
        <v>9</v>
      </c>
      <c r="M215" s="530" t="s">
        <v>1073</v>
      </c>
      <c r="N215" s="318"/>
      <c r="O215" s="999"/>
      <c r="P215" s="437"/>
      <c r="Q215" s="305"/>
      <c r="R215" s="1003"/>
      <c r="S215" s="646"/>
      <c r="T215" s="551" t="str">
        <f t="shared" si="12"/>
        <v/>
      </c>
      <c r="U215" s="535">
        <f t="shared" si="18"/>
        <v>0</v>
      </c>
      <c r="V215" s="894"/>
      <c r="W215" s="608"/>
      <c r="X215" s="912"/>
      <c r="Y215" s="507"/>
      <c r="Z215" s="879"/>
    </row>
    <row r="216" spans="1:26" ht="15" customHeight="1" thickBot="1">
      <c r="B216" s="306">
        <v>9</v>
      </c>
      <c r="C216" s="431"/>
      <c r="D216" s="319"/>
      <c r="E216" s="308"/>
      <c r="F216" s="453"/>
      <c r="G216" s="320"/>
      <c r="H216" s="695"/>
      <c r="I216" s="910"/>
      <c r="J216" s="880"/>
      <c r="K216" s="354"/>
      <c r="L216" s="306">
        <v>9</v>
      </c>
      <c r="M216" s="434" t="s">
        <v>1073</v>
      </c>
      <c r="N216" s="319"/>
      <c r="O216" s="1000"/>
      <c r="P216" s="453"/>
      <c r="Q216" s="476"/>
      <c r="R216" s="1011"/>
      <c r="S216" s="647"/>
      <c r="T216" s="552" t="str">
        <f t="shared" ref="T216:T234" si="30">IF(W216&gt;1,EOMONTH(W216,0),"")</f>
        <v/>
      </c>
      <c r="U216" s="536">
        <f t="shared" ref="U216" si="31">(Q216/$X$180*$J$180)</f>
        <v>0</v>
      </c>
      <c r="V216" s="895"/>
      <c r="W216" s="609"/>
      <c r="X216" s="913"/>
      <c r="Y216" s="470"/>
      <c r="Z216" s="880"/>
    </row>
    <row r="217" spans="1:26" ht="14.5" thickBot="1">
      <c r="A217" s="24"/>
      <c r="B217" s="280"/>
      <c r="C217" s="297"/>
      <c r="D217" s="298"/>
      <c r="E217" s="281"/>
      <c r="F217" s="449"/>
      <c r="G217" s="282"/>
      <c r="H217" s="700"/>
      <c r="I217" s="270"/>
      <c r="J217" s="394"/>
      <c r="K217" s="24"/>
      <c r="L217" s="280"/>
      <c r="M217" s="297"/>
      <c r="N217" s="298"/>
      <c r="O217" s="281"/>
      <c r="P217" s="449"/>
      <c r="Q217" s="479"/>
      <c r="R217" s="1010"/>
      <c r="S217" s="652"/>
      <c r="T217" s="553" t="str">
        <f t="shared" si="30"/>
        <v/>
      </c>
      <c r="U217" s="541"/>
      <c r="V217" s="521"/>
      <c r="W217" s="610"/>
      <c r="X217" s="340"/>
      <c r="Y217" s="508"/>
      <c r="Z217" s="270"/>
    </row>
    <row r="218" spans="1:26" ht="14.25" customHeight="1">
      <c r="B218" s="259">
        <v>10</v>
      </c>
      <c r="C218" s="260" t="s">
        <v>1075</v>
      </c>
      <c r="D218" s="260" t="s">
        <v>1076</v>
      </c>
      <c r="E218" s="261"/>
      <c r="F218" s="463"/>
      <c r="G218" s="328">
        <v>8500</v>
      </c>
      <c r="H218" s="709">
        <v>45961</v>
      </c>
      <c r="I218" s="884">
        <f>SUM(G218:G265)</f>
        <v>1661037.4625648628</v>
      </c>
      <c r="J218" s="884">
        <f>9239.13043478261+1356331.52173913+260869.565217391+179035.28539659</f>
        <v>1805475.5027878936</v>
      </c>
      <c r="K218" s="329"/>
      <c r="L218" s="259">
        <v>10</v>
      </c>
      <c r="M218" s="260" t="s">
        <v>1077</v>
      </c>
      <c r="N218" s="260" t="s">
        <v>1078</v>
      </c>
      <c r="O218" s="580"/>
      <c r="P218" s="463"/>
      <c r="Q218" s="328">
        <v>240000</v>
      </c>
      <c r="R218" s="1018"/>
      <c r="S218" s="658"/>
      <c r="T218" s="562">
        <f t="shared" si="30"/>
        <v>46112</v>
      </c>
      <c r="U218" s="546">
        <f t="shared" ref="U218:U265" si="32">(Q218/$X$218*$J$218)</f>
        <v>240820.3746788904</v>
      </c>
      <c r="V218" s="896">
        <f>J218-SUM(U218:U265)</f>
        <v>0</v>
      </c>
      <c r="W218" s="618">
        <v>46112</v>
      </c>
      <c r="X218" s="890">
        <f>SUM(Q218:Q265)</f>
        <v>1799325</v>
      </c>
      <c r="Y218" s="513"/>
      <c r="Z218" s="884">
        <f>I218-X218</f>
        <v>-138287.5374351372</v>
      </c>
    </row>
    <row r="219" spans="1:26" ht="14.25" customHeight="1">
      <c r="B219" s="330">
        <v>10</v>
      </c>
      <c r="C219" s="331"/>
      <c r="D219" s="331" t="s">
        <v>1079</v>
      </c>
      <c r="E219" s="332"/>
      <c r="F219" s="464"/>
      <c r="G219" s="333">
        <v>164712.46256486286</v>
      </c>
      <c r="H219" s="710">
        <v>45960</v>
      </c>
      <c r="I219" s="885"/>
      <c r="J219" s="885"/>
      <c r="K219" s="262"/>
      <c r="L219" s="330">
        <v>10</v>
      </c>
      <c r="M219" s="331" t="s">
        <v>1077</v>
      </c>
      <c r="N219" s="331"/>
      <c r="O219" s="581"/>
      <c r="P219" s="464"/>
      <c r="Q219" s="333"/>
      <c r="R219" s="1019"/>
      <c r="S219" s="659"/>
      <c r="T219" s="563" t="str">
        <f t="shared" si="30"/>
        <v/>
      </c>
      <c r="U219" s="547">
        <f t="shared" si="32"/>
        <v>0</v>
      </c>
      <c r="V219" s="897"/>
      <c r="W219" s="619"/>
      <c r="X219" s="891"/>
      <c r="Y219" s="514"/>
      <c r="Z219" s="885"/>
    </row>
    <row r="220" spans="1:26" ht="14.25" customHeight="1">
      <c r="B220" s="330">
        <v>10</v>
      </c>
      <c r="C220" s="331"/>
      <c r="D220" s="331" t="s">
        <v>1080</v>
      </c>
      <c r="E220" s="332"/>
      <c r="F220" s="464"/>
      <c r="G220" s="333">
        <v>1247825</v>
      </c>
      <c r="H220" s="710">
        <v>45961</v>
      </c>
      <c r="I220" s="885"/>
      <c r="J220" s="885"/>
      <c r="K220" s="262"/>
      <c r="L220" s="330">
        <v>10</v>
      </c>
      <c r="M220" s="331" t="s">
        <v>1077</v>
      </c>
      <c r="N220" s="331" t="s">
        <v>1080</v>
      </c>
      <c r="O220" s="581"/>
      <c r="P220" s="464"/>
      <c r="Q220" s="333">
        <v>247825</v>
      </c>
      <c r="R220" s="1019"/>
      <c r="S220" s="659"/>
      <c r="T220" s="563">
        <f t="shared" si="30"/>
        <v>46112</v>
      </c>
      <c r="U220" s="547">
        <f t="shared" si="32"/>
        <v>248672.12231165008</v>
      </c>
      <c r="V220" s="897"/>
      <c r="W220" s="619">
        <v>46112</v>
      </c>
      <c r="X220" s="891"/>
      <c r="Y220" s="514"/>
      <c r="Z220" s="885"/>
    </row>
    <row r="221" spans="1:26" ht="14.25" customHeight="1">
      <c r="B221" s="330">
        <v>10</v>
      </c>
      <c r="C221" s="331"/>
      <c r="D221" s="331" t="s">
        <v>1078</v>
      </c>
      <c r="E221" s="332"/>
      <c r="F221" s="464"/>
      <c r="G221" s="333">
        <v>240000</v>
      </c>
      <c r="H221" s="710">
        <v>45962</v>
      </c>
      <c r="I221" s="885"/>
      <c r="J221" s="885"/>
      <c r="K221" s="262"/>
      <c r="L221" s="330">
        <v>10</v>
      </c>
      <c r="M221" s="331" t="s">
        <v>1077</v>
      </c>
      <c r="N221" s="331"/>
      <c r="O221" s="581"/>
      <c r="P221" s="464"/>
      <c r="Q221" s="333"/>
      <c r="R221" s="1019"/>
      <c r="S221" s="659"/>
      <c r="T221" s="563" t="str">
        <f t="shared" si="30"/>
        <v/>
      </c>
      <c r="U221" s="547">
        <f t="shared" si="32"/>
        <v>0</v>
      </c>
      <c r="V221" s="897"/>
      <c r="W221" s="619"/>
      <c r="X221" s="891"/>
      <c r="Y221" s="514"/>
      <c r="Z221" s="885"/>
    </row>
    <row r="222" spans="1:26" ht="14.25" customHeight="1">
      <c r="B222" s="330">
        <v>10</v>
      </c>
      <c r="C222" s="331"/>
      <c r="D222" s="331"/>
      <c r="E222" s="332"/>
      <c r="F222" s="464"/>
      <c r="G222" s="333"/>
      <c r="H222" s="710"/>
      <c r="I222" s="885"/>
      <c r="J222" s="885"/>
      <c r="K222" s="262"/>
      <c r="L222" s="330">
        <v>10</v>
      </c>
      <c r="M222" s="331" t="s">
        <v>1077</v>
      </c>
      <c r="N222" s="331"/>
      <c r="O222" s="581"/>
      <c r="P222" s="464"/>
      <c r="Q222" s="333"/>
      <c r="R222" s="1020"/>
      <c r="S222" s="660"/>
      <c r="T222" s="564" t="str">
        <f t="shared" si="30"/>
        <v/>
      </c>
      <c r="U222" s="548">
        <f t="shared" si="32"/>
        <v>0</v>
      </c>
      <c r="V222" s="897"/>
      <c r="W222" s="620"/>
      <c r="X222" s="891"/>
      <c r="Y222" s="514"/>
      <c r="Z222" s="885"/>
    </row>
    <row r="223" spans="1:26" ht="14.25" customHeight="1">
      <c r="B223" s="330">
        <v>10</v>
      </c>
      <c r="C223" s="331"/>
      <c r="D223" s="331"/>
      <c r="E223" s="332"/>
      <c r="F223" s="464"/>
      <c r="G223" s="333"/>
      <c r="H223" s="710"/>
      <c r="I223" s="885"/>
      <c r="J223" s="885"/>
      <c r="K223" s="262"/>
      <c r="L223" s="330">
        <v>10</v>
      </c>
      <c r="M223" s="331" t="s">
        <v>1077</v>
      </c>
      <c r="N223" s="331" t="s">
        <v>1081</v>
      </c>
      <c r="O223" s="581"/>
      <c r="P223" s="464"/>
      <c r="Q223" s="333">
        <v>8000</v>
      </c>
      <c r="R223" s="1020"/>
      <c r="S223" s="660"/>
      <c r="T223" s="564">
        <v>46142</v>
      </c>
      <c r="U223" s="548">
        <f t="shared" si="32"/>
        <v>8027.3458226296798</v>
      </c>
      <c r="V223" s="897"/>
      <c r="W223" s="564">
        <f t="shared" ref="W223:W227" si="33">T223</f>
        <v>46142</v>
      </c>
      <c r="X223" s="891"/>
      <c r="Y223" s="514"/>
      <c r="Z223" s="885"/>
    </row>
    <row r="224" spans="1:26" ht="14.25" customHeight="1">
      <c r="B224" s="330">
        <v>10</v>
      </c>
      <c r="C224" s="331"/>
      <c r="D224" s="331"/>
      <c r="E224" s="332"/>
      <c r="F224" s="464"/>
      <c r="G224" s="333"/>
      <c r="H224" s="710"/>
      <c r="I224" s="885"/>
      <c r="J224" s="885"/>
      <c r="K224" s="262"/>
      <c r="L224" s="330">
        <v>10</v>
      </c>
      <c r="M224" s="331" t="s">
        <v>1077</v>
      </c>
      <c r="N224" s="331" t="s">
        <v>1082</v>
      </c>
      <c r="O224" s="581"/>
      <c r="P224" s="464"/>
      <c r="Q224" s="333">
        <v>8000</v>
      </c>
      <c r="R224" s="1020"/>
      <c r="S224" s="660"/>
      <c r="T224" s="564">
        <f>T223+30</f>
        <v>46172</v>
      </c>
      <c r="U224" s="548">
        <f t="shared" si="32"/>
        <v>8027.3458226296798</v>
      </c>
      <c r="V224" s="897"/>
      <c r="W224" s="564">
        <f t="shared" si="33"/>
        <v>46172</v>
      </c>
      <c r="X224" s="891"/>
      <c r="Y224" s="514"/>
      <c r="Z224" s="885"/>
    </row>
    <row r="225" spans="1:76" ht="14.25" customHeight="1">
      <c r="B225" s="330">
        <v>10</v>
      </c>
      <c r="C225" s="331"/>
      <c r="D225" s="331"/>
      <c r="E225" s="332"/>
      <c r="F225" s="464"/>
      <c r="G225" s="333"/>
      <c r="H225" s="710"/>
      <c r="I225" s="885"/>
      <c r="J225" s="885"/>
      <c r="K225" s="262"/>
      <c r="L225" s="330">
        <v>10</v>
      </c>
      <c r="M225" s="331" t="s">
        <v>1077</v>
      </c>
      <c r="N225" s="331" t="s">
        <v>1083</v>
      </c>
      <c r="O225" s="581"/>
      <c r="P225" s="464"/>
      <c r="Q225" s="333">
        <v>8000</v>
      </c>
      <c r="R225" s="1020"/>
      <c r="S225" s="660"/>
      <c r="T225" s="564">
        <f>T224+30</f>
        <v>46202</v>
      </c>
      <c r="U225" s="548">
        <f t="shared" si="32"/>
        <v>8027.3458226296798</v>
      </c>
      <c r="V225" s="897"/>
      <c r="W225" s="564">
        <f t="shared" si="33"/>
        <v>46202</v>
      </c>
      <c r="X225" s="891"/>
      <c r="Y225" s="514"/>
      <c r="Z225" s="885"/>
    </row>
    <row r="226" spans="1:76" ht="14.25" customHeight="1">
      <c r="B226" s="330">
        <v>10</v>
      </c>
      <c r="C226" s="331"/>
      <c r="D226" s="331"/>
      <c r="E226" s="332"/>
      <c r="F226" s="464"/>
      <c r="G226" s="333"/>
      <c r="H226" s="710"/>
      <c r="I226" s="885"/>
      <c r="J226" s="885"/>
      <c r="K226" s="262"/>
      <c r="L226" s="330">
        <v>10</v>
      </c>
      <c r="M226" s="331" t="s">
        <v>1077</v>
      </c>
      <c r="N226" s="331" t="s">
        <v>1084</v>
      </c>
      <c r="O226" s="581"/>
      <c r="P226" s="464"/>
      <c r="Q226" s="333">
        <v>8000</v>
      </c>
      <c r="R226" s="1020"/>
      <c r="S226" s="660"/>
      <c r="T226" s="564">
        <f>T225+30</f>
        <v>46232</v>
      </c>
      <c r="U226" s="548">
        <f t="shared" si="32"/>
        <v>8027.3458226296798</v>
      </c>
      <c r="V226" s="897"/>
      <c r="W226" s="564">
        <f t="shared" si="33"/>
        <v>46232</v>
      </c>
      <c r="X226" s="891"/>
      <c r="Y226" s="514"/>
      <c r="Z226" s="885"/>
    </row>
    <row r="227" spans="1:76" ht="14.25" customHeight="1">
      <c r="B227" s="330">
        <v>10</v>
      </c>
      <c r="C227" s="331"/>
      <c r="D227" s="331"/>
      <c r="E227" s="332"/>
      <c r="F227" s="464"/>
      <c r="G227" s="333"/>
      <c r="H227" s="710"/>
      <c r="I227" s="885"/>
      <c r="J227" s="885"/>
      <c r="K227" s="262"/>
      <c r="L227" s="330">
        <v>10</v>
      </c>
      <c r="M227" s="331" t="s">
        <v>1077</v>
      </c>
      <c r="N227" s="331" t="s">
        <v>1085</v>
      </c>
      <c r="O227" s="581"/>
      <c r="P227" s="464"/>
      <c r="Q227" s="333">
        <v>8000</v>
      </c>
      <c r="R227" s="1020"/>
      <c r="S227" s="660"/>
      <c r="T227" s="564">
        <f>T226+30</f>
        <v>46262</v>
      </c>
      <c r="U227" s="548">
        <f t="shared" si="32"/>
        <v>8027.3458226296798</v>
      </c>
      <c r="V227" s="897"/>
      <c r="W227" s="564">
        <f t="shared" si="33"/>
        <v>46262</v>
      </c>
      <c r="X227" s="891"/>
      <c r="Y227" s="514"/>
      <c r="Z227" s="885"/>
    </row>
    <row r="228" spans="1:76" ht="14.25" customHeight="1">
      <c r="B228" s="330">
        <v>10</v>
      </c>
      <c r="C228" s="331"/>
      <c r="D228" s="331"/>
      <c r="E228" s="332"/>
      <c r="F228" s="464"/>
      <c r="G228" s="333"/>
      <c r="H228" s="710"/>
      <c r="I228" s="885"/>
      <c r="J228" s="885"/>
      <c r="K228" s="262"/>
      <c r="L228" s="330">
        <v>10</v>
      </c>
      <c r="M228" s="331" t="s">
        <v>1077</v>
      </c>
      <c r="N228" s="331"/>
      <c r="O228" s="581"/>
      <c r="P228" s="464"/>
      <c r="Q228" s="333"/>
      <c r="R228" s="1020"/>
      <c r="S228" s="660"/>
      <c r="T228" s="564"/>
      <c r="U228" s="548">
        <f t="shared" si="32"/>
        <v>0</v>
      </c>
      <c r="V228" s="897"/>
      <c r="W228" s="564"/>
      <c r="X228" s="891"/>
      <c r="Y228" s="514"/>
      <c r="Z228" s="885"/>
    </row>
    <row r="229" spans="1:76" ht="14.25" customHeight="1">
      <c r="B229" s="330">
        <v>10</v>
      </c>
      <c r="C229" s="331"/>
      <c r="D229" s="331"/>
      <c r="E229" s="332"/>
      <c r="F229" s="464"/>
      <c r="G229" s="333"/>
      <c r="H229" s="710"/>
      <c r="I229" s="885"/>
      <c r="J229" s="885"/>
      <c r="K229" s="262"/>
      <c r="L229" s="330">
        <v>10</v>
      </c>
      <c r="M229" s="331" t="s">
        <v>1077</v>
      </c>
      <c r="N229" s="331"/>
      <c r="O229" s="581"/>
      <c r="P229" s="464"/>
      <c r="Q229" s="333"/>
      <c r="R229" s="1020"/>
      <c r="S229" s="660"/>
      <c r="T229" s="564"/>
      <c r="U229" s="548">
        <f t="shared" si="32"/>
        <v>0</v>
      </c>
      <c r="V229" s="897"/>
      <c r="W229" s="564"/>
      <c r="X229" s="891"/>
      <c r="Y229" s="514"/>
      <c r="Z229" s="885"/>
    </row>
    <row r="230" spans="1:76" ht="14.25" customHeight="1">
      <c r="B230" s="330">
        <v>10</v>
      </c>
      <c r="C230" s="331"/>
      <c r="D230" s="331"/>
      <c r="E230" s="332"/>
      <c r="F230" s="464"/>
      <c r="G230" s="333"/>
      <c r="H230" s="710"/>
      <c r="I230" s="885"/>
      <c r="J230" s="885"/>
      <c r="K230" s="262"/>
      <c r="L230" s="330">
        <v>10</v>
      </c>
      <c r="M230" s="331" t="s">
        <v>1077</v>
      </c>
      <c r="N230" s="331"/>
      <c r="O230" s="581"/>
      <c r="P230" s="464"/>
      <c r="Q230" s="333"/>
      <c r="R230" s="1020"/>
      <c r="S230" s="660"/>
      <c r="T230" s="564"/>
      <c r="U230" s="548">
        <f t="shared" si="32"/>
        <v>0</v>
      </c>
      <c r="V230" s="897"/>
      <c r="W230" s="620"/>
      <c r="X230" s="891"/>
      <c r="Y230" s="514"/>
      <c r="Z230" s="885"/>
    </row>
    <row r="231" spans="1:76" ht="14.25" customHeight="1">
      <c r="B231" s="330">
        <v>10</v>
      </c>
      <c r="C231" s="331"/>
      <c r="D231" s="331"/>
      <c r="E231" s="332"/>
      <c r="F231" s="464"/>
      <c r="G231" s="333"/>
      <c r="H231" s="710"/>
      <c r="I231" s="885"/>
      <c r="J231" s="885"/>
      <c r="K231" s="262"/>
      <c r="L231" s="330">
        <v>10</v>
      </c>
      <c r="M231" s="331" t="s">
        <v>1077</v>
      </c>
      <c r="N231" s="331" t="s">
        <v>1086</v>
      </c>
      <c r="O231" s="581"/>
      <c r="P231" s="464"/>
      <c r="Q231" s="333">
        <v>45000</v>
      </c>
      <c r="R231" s="1020" t="s">
        <v>1087</v>
      </c>
      <c r="S231" s="660"/>
      <c r="T231" s="564">
        <v>46142</v>
      </c>
      <c r="U231" s="548">
        <f t="shared" si="32"/>
        <v>45153.820252291953</v>
      </c>
      <c r="V231" s="897"/>
      <c r="W231" s="620">
        <f>T231</f>
        <v>46142</v>
      </c>
      <c r="X231" s="891"/>
      <c r="Y231" s="514"/>
      <c r="Z231" s="885"/>
    </row>
    <row r="232" spans="1:76" ht="14.25" customHeight="1">
      <c r="B232" s="330">
        <v>10</v>
      </c>
      <c r="C232" s="331"/>
      <c r="D232" s="331"/>
      <c r="E232" s="332"/>
      <c r="F232" s="464"/>
      <c r="G232" s="333"/>
      <c r="H232" s="710"/>
      <c r="I232" s="885"/>
      <c r="J232" s="885"/>
      <c r="K232" s="262"/>
      <c r="L232" s="330">
        <v>10</v>
      </c>
      <c r="M232" s="331" t="s">
        <v>1077</v>
      </c>
      <c r="N232" s="331" t="s">
        <v>1088</v>
      </c>
      <c r="O232" s="581"/>
      <c r="P232" s="464"/>
      <c r="Q232" s="333"/>
      <c r="R232" s="1020"/>
      <c r="S232" s="660"/>
      <c r="T232" s="564" t="str">
        <f t="shared" si="30"/>
        <v/>
      </c>
      <c r="U232" s="548">
        <f t="shared" si="32"/>
        <v>0</v>
      </c>
      <c r="V232" s="897"/>
      <c r="W232" s="620"/>
      <c r="X232" s="891"/>
      <c r="Y232" s="514"/>
      <c r="Z232" s="885"/>
    </row>
    <row r="233" spans="1:76" ht="14.25" customHeight="1">
      <c r="A233" s="24"/>
      <c r="B233" s="330">
        <v>10</v>
      </c>
      <c r="C233" s="331"/>
      <c r="D233" s="331"/>
      <c r="E233" s="332"/>
      <c r="F233" s="464"/>
      <c r="G233" s="333"/>
      <c r="H233" s="710"/>
      <c r="I233" s="885"/>
      <c r="J233" s="885"/>
      <c r="K233" s="262"/>
      <c r="L233" s="330">
        <v>10</v>
      </c>
      <c r="M233" s="331" t="s">
        <v>1077</v>
      </c>
      <c r="N233" s="331" t="s">
        <v>1088</v>
      </c>
      <c r="O233" s="581"/>
      <c r="P233" s="464"/>
      <c r="Q233" s="333"/>
      <c r="R233" s="1020"/>
      <c r="S233" s="660"/>
      <c r="T233" s="564" t="str">
        <f t="shared" ref="T233" si="34">IF(W233&gt;1,EOMONTH(W233,0),"")</f>
        <v/>
      </c>
      <c r="U233" s="548">
        <f t="shared" ref="U233" si="35">(Q233/$X$218*$J$218)</f>
        <v>0</v>
      </c>
      <c r="V233" s="897"/>
      <c r="W233" s="620"/>
      <c r="X233" s="891"/>
      <c r="Y233" s="514"/>
      <c r="Z233" s="885"/>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885"/>
      <c r="J234" s="885"/>
      <c r="K234" s="262"/>
      <c r="L234" s="330">
        <v>10</v>
      </c>
      <c r="M234" s="331" t="s">
        <v>1077</v>
      </c>
      <c r="N234" s="331"/>
      <c r="O234" s="581"/>
      <c r="P234" s="464"/>
      <c r="Q234" s="333"/>
      <c r="R234" s="1020"/>
      <c r="S234" s="660"/>
      <c r="T234" s="564" t="str">
        <f t="shared" si="30"/>
        <v/>
      </c>
      <c r="U234" s="548">
        <f t="shared" si="32"/>
        <v>0</v>
      </c>
      <c r="V234" s="897"/>
      <c r="W234" s="620"/>
      <c r="X234" s="891"/>
      <c r="Y234" s="514"/>
      <c r="Z234" s="885"/>
    </row>
    <row r="235" spans="1:76" ht="14.25" customHeight="1">
      <c r="B235" s="330">
        <v>10</v>
      </c>
      <c r="C235" s="331"/>
      <c r="D235" s="331"/>
      <c r="E235" s="332"/>
      <c r="F235" s="464"/>
      <c r="G235" s="333"/>
      <c r="H235" s="710"/>
      <c r="I235" s="885"/>
      <c r="J235" s="885"/>
      <c r="K235" s="262"/>
      <c r="L235" s="330">
        <v>10</v>
      </c>
      <c r="M235" s="331" t="s">
        <v>1077</v>
      </c>
      <c r="N235" s="331" t="s">
        <v>1089</v>
      </c>
      <c r="O235" s="581"/>
      <c r="P235" s="464"/>
      <c r="Q235" s="333">
        <v>2000</v>
      </c>
      <c r="R235" s="1020"/>
      <c r="S235" s="660"/>
      <c r="T235" s="564">
        <v>46142</v>
      </c>
      <c r="U235" s="548">
        <f t="shared" si="32"/>
        <v>2006.8364556574199</v>
      </c>
      <c r="V235" s="897"/>
      <c r="W235" s="564">
        <v>46053</v>
      </c>
      <c r="X235" s="891"/>
      <c r="Y235" s="514"/>
      <c r="Z235" s="885"/>
    </row>
    <row r="236" spans="1:76" ht="14.25" customHeight="1">
      <c r="B236" s="330">
        <v>10</v>
      </c>
      <c r="C236" s="331"/>
      <c r="D236" s="331"/>
      <c r="E236" s="332"/>
      <c r="F236" s="464"/>
      <c r="G236" s="333"/>
      <c r="H236" s="710"/>
      <c r="I236" s="885"/>
      <c r="J236" s="885"/>
      <c r="K236" s="262"/>
      <c r="L236" s="330">
        <v>10</v>
      </c>
      <c r="M236" s="331" t="s">
        <v>1077</v>
      </c>
      <c r="N236" s="331" t="s">
        <v>1090</v>
      </c>
      <c r="O236" s="581"/>
      <c r="P236" s="464"/>
      <c r="Q236" s="333">
        <v>2000</v>
      </c>
      <c r="R236" s="1020"/>
      <c r="S236" s="660"/>
      <c r="T236" s="564">
        <v>46081</v>
      </c>
      <c r="U236" s="548">
        <f t="shared" si="32"/>
        <v>2006.8364556574199</v>
      </c>
      <c r="V236" s="897"/>
      <c r="W236" s="564">
        <v>46081</v>
      </c>
      <c r="X236" s="891"/>
      <c r="Y236" s="514"/>
      <c r="Z236" s="885"/>
    </row>
    <row r="237" spans="1:76" ht="14.25" customHeight="1">
      <c r="B237" s="330">
        <v>10</v>
      </c>
      <c r="C237" s="331"/>
      <c r="D237" s="331"/>
      <c r="E237" s="332"/>
      <c r="F237" s="464"/>
      <c r="G237" s="333"/>
      <c r="H237" s="710"/>
      <c r="I237" s="885"/>
      <c r="J237" s="885"/>
      <c r="K237" s="262"/>
      <c r="L237" s="330">
        <v>10</v>
      </c>
      <c r="M237" s="331" t="s">
        <v>1077</v>
      </c>
      <c r="N237" s="331" t="s">
        <v>1091</v>
      </c>
      <c r="O237" s="581"/>
      <c r="P237" s="464"/>
      <c r="Q237" s="333">
        <v>2000</v>
      </c>
      <c r="R237" s="1020"/>
      <c r="S237" s="660"/>
      <c r="T237" s="564">
        <v>46112</v>
      </c>
      <c r="U237" s="548">
        <f t="shared" si="32"/>
        <v>2006.8364556574199</v>
      </c>
      <c r="V237" s="897"/>
      <c r="W237" s="564">
        <v>46112</v>
      </c>
      <c r="X237" s="891"/>
      <c r="Y237" s="514"/>
      <c r="Z237" s="885"/>
    </row>
    <row r="238" spans="1:76" ht="14.25" customHeight="1">
      <c r="B238" s="330">
        <v>10</v>
      </c>
      <c r="C238" s="331"/>
      <c r="D238" s="331"/>
      <c r="E238" s="332"/>
      <c r="F238" s="464"/>
      <c r="G238" s="333"/>
      <c r="H238" s="710"/>
      <c r="I238" s="885"/>
      <c r="J238" s="885"/>
      <c r="K238" s="262"/>
      <c r="L238" s="330">
        <v>10</v>
      </c>
      <c r="M238" s="331" t="s">
        <v>1077</v>
      </c>
      <c r="N238" s="331" t="s">
        <v>1092</v>
      </c>
      <c r="O238" s="581"/>
      <c r="P238" s="464"/>
      <c r="Q238" s="333">
        <v>2000</v>
      </c>
      <c r="R238" s="1020"/>
      <c r="S238" s="660"/>
      <c r="T238" s="564">
        <v>46142</v>
      </c>
      <c r="U238" s="548">
        <f t="shared" si="32"/>
        <v>2006.8364556574199</v>
      </c>
      <c r="V238" s="897"/>
      <c r="W238" s="564">
        <v>46142</v>
      </c>
      <c r="X238" s="891"/>
      <c r="Y238" s="514"/>
      <c r="Z238" s="885"/>
    </row>
    <row r="239" spans="1:76" ht="14.25" customHeight="1">
      <c r="B239" s="330">
        <v>10</v>
      </c>
      <c r="C239" s="331"/>
      <c r="D239" s="331"/>
      <c r="E239" s="332"/>
      <c r="F239" s="464"/>
      <c r="G239" s="333"/>
      <c r="H239" s="710"/>
      <c r="I239" s="885"/>
      <c r="J239" s="885"/>
      <c r="K239" s="262"/>
      <c r="L239" s="330">
        <v>10</v>
      </c>
      <c r="M239" s="331" t="s">
        <v>1077</v>
      </c>
      <c r="N239" s="331" t="s">
        <v>1093</v>
      </c>
      <c r="O239" s="581"/>
      <c r="P239" s="464"/>
      <c r="Q239" s="333">
        <v>2000</v>
      </c>
      <c r="R239" s="1020"/>
      <c r="S239" s="660"/>
      <c r="T239" s="564">
        <v>46173</v>
      </c>
      <c r="U239" s="548">
        <f t="shared" si="32"/>
        <v>2006.8364556574199</v>
      </c>
      <c r="V239" s="897"/>
      <c r="W239" s="564">
        <v>46173</v>
      </c>
      <c r="X239" s="891"/>
      <c r="Y239" s="514"/>
      <c r="Z239" s="885"/>
    </row>
    <row r="240" spans="1:76" ht="14.25" customHeight="1">
      <c r="B240" s="330">
        <v>10</v>
      </c>
      <c r="C240" s="331"/>
      <c r="D240" s="331"/>
      <c r="E240" s="332"/>
      <c r="F240" s="464"/>
      <c r="G240" s="333"/>
      <c r="H240" s="710"/>
      <c r="I240" s="885"/>
      <c r="J240" s="885"/>
      <c r="K240" s="262"/>
      <c r="L240" s="330">
        <v>10</v>
      </c>
      <c r="M240" s="331" t="s">
        <v>1077</v>
      </c>
      <c r="N240" s="331"/>
      <c r="O240" s="581"/>
      <c r="P240" s="464"/>
      <c r="Q240" s="333"/>
      <c r="R240" s="1020"/>
      <c r="S240" s="660"/>
      <c r="T240" s="564" t="str">
        <f t="shared" ref="T240:T335" si="36">IF(W240&gt;1,EOMONTH(W240,0),"")</f>
        <v/>
      </c>
      <c r="U240" s="548">
        <f t="shared" si="32"/>
        <v>0</v>
      </c>
      <c r="V240" s="897"/>
      <c r="W240" s="620"/>
      <c r="X240" s="891"/>
      <c r="Y240" s="514"/>
      <c r="Z240" s="885"/>
    </row>
    <row r="241" spans="2:26" ht="14.25" customHeight="1">
      <c r="B241" s="330">
        <v>10</v>
      </c>
      <c r="C241" s="331"/>
      <c r="D241" s="331"/>
      <c r="E241" s="332"/>
      <c r="F241" s="464"/>
      <c r="G241" s="333"/>
      <c r="H241" s="710"/>
      <c r="I241" s="885"/>
      <c r="J241" s="885"/>
      <c r="K241" s="262"/>
      <c r="L241" s="330">
        <v>10</v>
      </c>
      <c r="M241" s="331" t="s">
        <v>1077</v>
      </c>
      <c r="N241" s="331" t="s">
        <v>1094</v>
      </c>
      <c r="O241" s="581">
        <v>3</v>
      </c>
      <c r="P241" s="464">
        <v>1100</v>
      </c>
      <c r="Q241" s="333">
        <f>O241*P241</f>
        <v>3300</v>
      </c>
      <c r="R241" s="1020"/>
      <c r="S241" s="660"/>
      <c r="T241" s="564">
        <v>46142</v>
      </c>
      <c r="U241" s="548">
        <f t="shared" si="32"/>
        <v>3311.2801518347428</v>
      </c>
      <c r="V241" s="897"/>
      <c r="W241" s="564">
        <f>T241</f>
        <v>46142</v>
      </c>
      <c r="X241" s="891"/>
      <c r="Y241" s="514"/>
      <c r="Z241" s="885"/>
    </row>
    <row r="242" spans="2:26" ht="14.25" customHeight="1">
      <c r="B242" s="330">
        <v>10</v>
      </c>
      <c r="C242" s="331"/>
      <c r="D242" s="331"/>
      <c r="E242" s="332"/>
      <c r="F242" s="464"/>
      <c r="G242" s="333"/>
      <c r="H242" s="710"/>
      <c r="I242" s="885"/>
      <c r="J242" s="885"/>
      <c r="K242" s="262"/>
      <c r="L242" s="330">
        <v>10</v>
      </c>
      <c r="M242" s="331" t="s">
        <v>1077</v>
      </c>
      <c r="N242" s="331" t="s">
        <v>1095</v>
      </c>
      <c r="O242" s="581">
        <v>3</v>
      </c>
      <c r="P242" s="464">
        <v>1100</v>
      </c>
      <c r="Q242" s="333">
        <f t="shared" ref="Q242:Q245" si="37">O242*P242</f>
        <v>3300</v>
      </c>
      <c r="R242" s="1020"/>
      <c r="S242" s="660"/>
      <c r="T242" s="564">
        <v>46173</v>
      </c>
      <c r="U242" s="548">
        <f t="shared" si="32"/>
        <v>3311.2801518347428</v>
      </c>
      <c r="V242" s="897"/>
      <c r="W242" s="564">
        <f>T242</f>
        <v>46173</v>
      </c>
      <c r="X242" s="891"/>
      <c r="Y242" s="514"/>
      <c r="Z242" s="885"/>
    </row>
    <row r="243" spans="2:26" ht="14.25" customHeight="1">
      <c r="B243" s="330">
        <v>10</v>
      </c>
      <c r="C243" s="331"/>
      <c r="D243" s="331"/>
      <c r="E243" s="332"/>
      <c r="F243" s="464"/>
      <c r="G243" s="333"/>
      <c r="H243" s="710"/>
      <c r="I243" s="885"/>
      <c r="J243" s="885"/>
      <c r="K243" s="262"/>
      <c r="L243" s="330">
        <v>10</v>
      </c>
      <c r="M243" s="331" t="s">
        <v>1077</v>
      </c>
      <c r="N243" s="331" t="s">
        <v>1096</v>
      </c>
      <c r="O243" s="581">
        <v>3</v>
      </c>
      <c r="P243" s="464">
        <v>1100</v>
      </c>
      <c r="Q243" s="333">
        <f t="shared" si="37"/>
        <v>3300</v>
      </c>
      <c r="R243" s="1020"/>
      <c r="S243" s="660"/>
      <c r="T243" s="564">
        <v>46203</v>
      </c>
      <c r="U243" s="548">
        <f t="shared" si="32"/>
        <v>3311.2801518347428</v>
      </c>
      <c r="V243" s="897"/>
      <c r="W243" s="564">
        <f>T243</f>
        <v>46203</v>
      </c>
      <c r="X243" s="891"/>
      <c r="Y243" s="514"/>
      <c r="Z243" s="885"/>
    </row>
    <row r="244" spans="2:26" ht="14.25" customHeight="1">
      <c r="B244" s="330">
        <v>10</v>
      </c>
      <c r="C244" s="331"/>
      <c r="D244" s="331"/>
      <c r="E244" s="332"/>
      <c r="F244" s="464"/>
      <c r="G244" s="333"/>
      <c r="H244" s="710"/>
      <c r="I244" s="885"/>
      <c r="J244" s="885"/>
      <c r="K244" s="262"/>
      <c r="L244" s="330">
        <v>10</v>
      </c>
      <c r="M244" s="331" t="s">
        <v>1077</v>
      </c>
      <c r="N244" s="331" t="s">
        <v>1097</v>
      </c>
      <c r="O244" s="581">
        <v>3</v>
      </c>
      <c r="P244" s="464">
        <v>1100</v>
      </c>
      <c r="Q244" s="333">
        <f t="shared" si="37"/>
        <v>3300</v>
      </c>
      <c r="R244" s="1020"/>
      <c r="S244" s="660"/>
      <c r="T244" s="564">
        <v>46234</v>
      </c>
      <c r="U244" s="548">
        <f t="shared" si="32"/>
        <v>3311.2801518347428</v>
      </c>
      <c r="V244" s="897"/>
      <c r="W244" s="564">
        <f>T244</f>
        <v>46234</v>
      </c>
      <c r="X244" s="891"/>
      <c r="Y244" s="514"/>
      <c r="Z244" s="885"/>
    </row>
    <row r="245" spans="2:26" ht="14.25" customHeight="1">
      <c r="B245" s="330">
        <v>10</v>
      </c>
      <c r="C245" s="331"/>
      <c r="D245" s="331"/>
      <c r="E245" s="332"/>
      <c r="F245" s="464"/>
      <c r="G245" s="333"/>
      <c r="H245" s="710"/>
      <c r="I245" s="885"/>
      <c r="J245" s="885"/>
      <c r="K245" s="262"/>
      <c r="L245" s="330">
        <v>10</v>
      </c>
      <c r="M245" s="331" t="s">
        <v>1077</v>
      </c>
      <c r="N245" s="331" t="s">
        <v>1098</v>
      </c>
      <c r="O245" s="581">
        <v>3</v>
      </c>
      <c r="P245" s="464">
        <v>1100</v>
      </c>
      <c r="Q245" s="333">
        <f t="shared" si="37"/>
        <v>3300</v>
      </c>
      <c r="R245" s="1020"/>
      <c r="S245" s="660"/>
      <c r="T245" s="564">
        <v>46265</v>
      </c>
      <c r="U245" s="548">
        <f t="shared" si="32"/>
        <v>3311.2801518347428</v>
      </c>
      <c r="V245" s="897"/>
      <c r="W245" s="564">
        <f>T245</f>
        <v>46265</v>
      </c>
      <c r="X245" s="891"/>
      <c r="Y245" s="514"/>
      <c r="Z245" s="885"/>
    </row>
    <row r="246" spans="2:26" ht="14.25" customHeight="1">
      <c r="B246" s="330">
        <v>10</v>
      </c>
      <c r="C246" s="331"/>
      <c r="D246" s="331"/>
      <c r="E246" s="332"/>
      <c r="F246" s="464"/>
      <c r="G246" s="333"/>
      <c r="H246" s="710"/>
      <c r="I246" s="885"/>
      <c r="J246" s="885"/>
      <c r="K246" s="262"/>
      <c r="L246" s="330">
        <v>10</v>
      </c>
      <c r="M246" s="331" t="s">
        <v>1077</v>
      </c>
      <c r="N246" s="331"/>
      <c r="O246" s="581"/>
      <c r="P246" s="464"/>
      <c r="Q246" s="333"/>
      <c r="R246" s="1020"/>
      <c r="S246" s="660"/>
      <c r="T246" s="564" t="str">
        <f t="shared" si="36"/>
        <v/>
      </c>
      <c r="U246" s="548">
        <f t="shared" si="32"/>
        <v>0</v>
      </c>
      <c r="V246" s="897"/>
      <c r="W246" s="620"/>
      <c r="X246" s="891"/>
      <c r="Y246" s="514"/>
      <c r="Z246" s="885"/>
    </row>
    <row r="247" spans="2:26" ht="14.25" customHeight="1">
      <c r="B247" s="330">
        <v>10</v>
      </c>
      <c r="C247" s="331"/>
      <c r="D247" s="331"/>
      <c r="E247" s="332"/>
      <c r="F247" s="464"/>
      <c r="G247" s="333"/>
      <c r="H247" s="710"/>
      <c r="I247" s="885"/>
      <c r="J247" s="885"/>
      <c r="K247" s="262"/>
      <c r="L247" s="330">
        <v>10</v>
      </c>
      <c r="M247" s="331" t="s">
        <v>1077</v>
      </c>
      <c r="N247" s="331"/>
      <c r="O247" s="581"/>
      <c r="P247" s="464"/>
      <c r="Q247" s="333"/>
      <c r="R247" s="1020"/>
      <c r="S247" s="660"/>
      <c r="T247" s="564" t="str">
        <f t="shared" si="36"/>
        <v/>
      </c>
      <c r="U247" s="548">
        <f t="shared" si="32"/>
        <v>0</v>
      </c>
      <c r="V247" s="897"/>
      <c r="W247" s="620"/>
      <c r="X247" s="891"/>
      <c r="Y247" s="514"/>
      <c r="Z247" s="885"/>
    </row>
    <row r="248" spans="2:26" ht="14.25" customHeight="1">
      <c r="B248" s="622"/>
      <c r="C248" s="623"/>
      <c r="D248" s="623"/>
      <c r="E248" s="624"/>
      <c r="F248" s="625"/>
      <c r="G248" s="626"/>
      <c r="H248" s="711"/>
      <c r="I248" s="885"/>
      <c r="J248" s="885"/>
      <c r="K248" s="262"/>
      <c r="L248" s="330">
        <v>10</v>
      </c>
      <c r="M248" s="331" t="s">
        <v>1077</v>
      </c>
      <c r="N248" s="331"/>
      <c r="O248" s="581"/>
      <c r="P248" s="464"/>
      <c r="Q248" s="333"/>
      <c r="R248" s="1020"/>
      <c r="S248" s="660"/>
      <c r="T248" s="564" t="str">
        <f t="shared" si="36"/>
        <v/>
      </c>
      <c r="U248" s="548">
        <f t="shared" si="32"/>
        <v>0</v>
      </c>
      <c r="V248" s="897"/>
      <c r="W248" s="620"/>
      <c r="X248" s="891"/>
      <c r="Y248" s="514"/>
      <c r="Z248" s="885"/>
    </row>
    <row r="249" spans="2:26" ht="14.25" customHeight="1">
      <c r="B249" s="622"/>
      <c r="C249" s="623"/>
      <c r="D249" s="623"/>
      <c r="E249" s="624"/>
      <c r="F249" s="625"/>
      <c r="G249" s="626"/>
      <c r="H249" s="711"/>
      <c r="I249" s="885"/>
      <c r="J249" s="885"/>
      <c r="K249" s="262"/>
      <c r="L249" s="330">
        <v>10</v>
      </c>
      <c r="M249" s="331" t="s">
        <v>1077</v>
      </c>
      <c r="N249" s="331"/>
      <c r="O249" s="581"/>
      <c r="P249" s="464"/>
      <c r="Q249" s="333"/>
      <c r="R249" s="1020"/>
      <c r="S249" s="660"/>
      <c r="T249" s="564" t="str">
        <f t="shared" si="36"/>
        <v/>
      </c>
      <c r="U249" s="548">
        <f t="shared" si="32"/>
        <v>0</v>
      </c>
      <c r="V249" s="897"/>
      <c r="W249" s="620"/>
      <c r="X249" s="891"/>
      <c r="Y249" s="514"/>
      <c r="Z249" s="885"/>
    </row>
    <row r="250" spans="2:26" ht="14.25" customHeight="1">
      <c r="B250" s="622"/>
      <c r="C250" s="623"/>
      <c r="D250" s="623"/>
      <c r="E250" s="624"/>
      <c r="F250" s="625"/>
      <c r="G250" s="626"/>
      <c r="H250" s="711"/>
      <c r="I250" s="885"/>
      <c r="J250" s="885"/>
      <c r="K250" s="262"/>
      <c r="L250" s="330">
        <v>10</v>
      </c>
      <c r="M250" s="331" t="s">
        <v>1077</v>
      </c>
      <c r="N250" s="331" t="s">
        <v>1099</v>
      </c>
      <c r="O250" s="639">
        <v>0.5</v>
      </c>
      <c r="P250" s="464">
        <v>700000</v>
      </c>
      <c r="Q250" s="333">
        <f>O250*P250</f>
        <v>350000</v>
      </c>
      <c r="R250" s="1020"/>
      <c r="S250" s="660"/>
      <c r="T250" s="564">
        <f t="shared" si="36"/>
        <v>46630</v>
      </c>
      <c r="U250" s="548">
        <f t="shared" si="32"/>
        <v>351196.37974004855</v>
      </c>
      <c r="V250" s="897"/>
      <c r="W250" s="620">
        <f>W214</f>
        <v>46630</v>
      </c>
      <c r="X250" s="891"/>
      <c r="Y250" s="514"/>
      <c r="Z250" s="885"/>
    </row>
    <row r="251" spans="2:26" ht="14.25" customHeight="1">
      <c r="B251" s="622"/>
      <c r="C251" s="623"/>
      <c r="D251" s="623"/>
      <c r="E251" s="624"/>
      <c r="F251" s="625"/>
      <c r="G251" s="626"/>
      <c r="H251" s="711"/>
      <c r="I251" s="885"/>
      <c r="J251" s="885"/>
      <c r="K251" s="262"/>
      <c r="L251" s="330">
        <v>10</v>
      </c>
      <c r="M251" s="331" t="s">
        <v>1077</v>
      </c>
      <c r="N251" s="331" t="s">
        <v>1100</v>
      </c>
      <c r="O251" s="639">
        <v>0.5</v>
      </c>
      <c r="P251" s="464"/>
      <c r="Q251" s="333">
        <f>O251*P250</f>
        <v>350000</v>
      </c>
      <c r="R251" s="1020"/>
      <c r="S251" s="660"/>
      <c r="T251" s="564">
        <f t="shared" si="36"/>
        <v>46173</v>
      </c>
      <c r="U251" s="548">
        <f t="shared" si="32"/>
        <v>351196.37974004855</v>
      </c>
      <c r="V251" s="897"/>
      <c r="W251" s="620">
        <f>'Project Plan'!K128+14</f>
        <v>46164</v>
      </c>
      <c r="X251" s="891"/>
      <c r="Y251" s="514"/>
      <c r="Z251" s="885"/>
    </row>
    <row r="252" spans="2:26" ht="14.25" customHeight="1">
      <c r="B252" s="622"/>
      <c r="C252" s="623"/>
      <c r="D252" s="623"/>
      <c r="E252" s="624"/>
      <c r="F252" s="625"/>
      <c r="G252" s="626"/>
      <c r="H252" s="711"/>
      <c r="I252" s="885"/>
      <c r="J252" s="885"/>
      <c r="K252" s="262"/>
      <c r="L252" s="330">
        <v>10</v>
      </c>
      <c r="M252" s="331" t="s">
        <v>1077</v>
      </c>
      <c r="N252" s="331"/>
      <c r="O252" s="581"/>
      <c r="P252" s="464"/>
      <c r="Q252" s="333"/>
      <c r="R252" s="1020"/>
      <c r="S252" s="660"/>
      <c r="T252" s="564" t="str">
        <f t="shared" si="36"/>
        <v/>
      </c>
      <c r="U252" s="548">
        <f t="shared" si="32"/>
        <v>0</v>
      </c>
      <c r="V252" s="897"/>
      <c r="W252" s="620"/>
      <c r="X252" s="891"/>
      <c r="Y252" s="514"/>
      <c r="Z252" s="885"/>
    </row>
    <row r="253" spans="2:26" ht="14.25" customHeight="1">
      <c r="B253" s="622"/>
      <c r="C253" s="623"/>
      <c r="D253" s="623"/>
      <c r="E253" s="624"/>
      <c r="F253" s="625"/>
      <c r="G253" s="626"/>
      <c r="H253" s="711"/>
      <c r="I253" s="885"/>
      <c r="J253" s="885"/>
      <c r="K253" s="262"/>
      <c r="L253" s="330">
        <v>10</v>
      </c>
      <c r="M253" s="331" t="s">
        <v>1077</v>
      </c>
      <c r="N253" s="331" t="s">
        <v>1101</v>
      </c>
      <c r="O253" s="639">
        <v>0.5</v>
      </c>
      <c r="P253" s="464">
        <v>125000</v>
      </c>
      <c r="Q253" s="333">
        <f>O253*P253</f>
        <v>62500</v>
      </c>
      <c r="R253" s="1020"/>
      <c r="S253" s="660"/>
      <c r="T253" s="564" t="e">
        <f t="shared" si="36"/>
        <v>#REF!</v>
      </c>
      <c r="U253" s="548">
        <f t="shared" si="32"/>
        <v>62713.639239294374</v>
      </c>
      <c r="V253" s="897"/>
      <c r="W253" s="620" t="e">
        <f>#REF!</f>
        <v>#REF!</v>
      </c>
      <c r="X253" s="891"/>
      <c r="Y253" s="514"/>
      <c r="Z253" s="885"/>
    </row>
    <row r="254" spans="2:26" ht="14.25" customHeight="1">
      <c r="B254" s="622"/>
      <c r="C254" s="623"/>
      <c r="D254" s="623"/>
      <c r="E254" s="624"/>
      <c r="F254" s="625"/>
      <c r="G254" s="626"/>
      <c r="H254" s="711"/>
      <c r="I254" s="885"/>
      <c r="J254" s="885"/>
      <c r="K254" s="262"/>
      <c r="L254" s="330">
        <v>10</v>
      </c>
      <c r="M254" s="331" t="s">
        <v>1077</v>
      </c>
      <c r="N254" s="331" t="s">
        <v>1102</v>
      </c>
      <c r="O254" s="639">
        <v>0.5</v>
      </c>
      <c r="P254" s="464"/>
      <c r="Q254" s="333">
        <f>P253*O254</f>
        <v>62500</v>
      </c>
      <c r="R254" s="1020"/>
      <c r="S254" s="660"/>
      <c r="T254" s="564">
        <f t="shared" si="36"/>
        <v>46203</v>
      </c>
      <c r="U254" s="548">
        <f t="shared" si="32"/>
        <v>62713.639239294374</v>
      </c>
      <c r="V254" s="897"/>
      <c r="W254" s="620">
        <f>'Project Plan'!K167</f>
        <v>46191</v>
      </c>
      <c r="X254" s="891"/>
      <c r="Y254" s="514"/>
      <c r="Z254" s="885"/>
    </row>
    <row r="255" spans="2:26" ht="14.25" customHeight="1">
      <c r="B255" s="622"/>
      <c r="C255" s="623"/>
      <c r="D255" s="623"/>
      <c r="E255" s="624"/>
      <c r="F255" s="625"/>
      <c r="G255" s="626"/>
      <c r="H255" s="711"/>
      <c r="I255" s="885"/>
      <c r="J255" s="885"/>
      <c r="K255" s="262"/>
      <c r="L255" s="330">
        <v>10</v>
      </c>
      <c r="M255" s="331" t="s">
        <v>1077</v>
      </c>
      <c r="N255" s="331"/>
      <c r="O255" s="581"/>
      <c r="P255" s="464"/>
      <c r="Q255" s="333"/>
      <c r="R255" s="1020"/>
      <c r="S255" s="660"/>
      <c r="T255" s="564" t="str">
        <f t="shared" si="36"/>
        <v/>
      </c>
      <c r="U255" s="548">
        <f t="shared" si="32"/>
        <v>0</v>
      </c>
      <c r="V255" s="897"/>
      <c r="W255" s="620"/>
      <c r="X255" s="891"/>
      <c r="Y255" s="514"/>
      <c r="Z255" s="885"/>
    </row>
    <row r="256" spans="2:26" ht="14.25" customHeight="1">
      <c r="B256" s="622"/>
      <c r="C256" s="623"/>
      <c r="D256" s="623"/>
      <c r="E256" s="624"/>
      <c r="F256" s="625"/>
      <c r="G256" s="626"/>
      <c r="H256" s="711"/>
      <c r="I256" s="885"/>
      <c r="J256" s="885"/>
      <c r="K256" s="262"/>
      <c r="L256" s="330">
        <v>10</v>
      </c>
      <c r="M256" s="331" t="s">
        <v>1077</v>
      </c>
      <c r="N256" s="331" t="s">
        <v>1103</v>
      </c>
      <c r="O256" s="639">
        <v>0.5</v>
      </c>
      <c r="P256" s="464">
        <v>375000</v>
      </c>
      <c r="Q256" s="333">
        <f>O256*P256</f>
        <v>187500</v>
      </c>
      <c r="R256" s="1020"/>
      <c r="S256" s="660"/>
      <c r="T256" s="564" t="e">
        <f t="shared" si="36"/>
        <v>#REF!</v>
      </c>
      <c r="U256" s="548">
        <f t="shared" si="32"/>
        <v>188140.91771788313</v>
      </c>
      <c r="V256" s="897"/>
      <c r="W256" s="620" t="e">
        <f>#REF!</f>
        <v>#REF!</v>
      </c>
      <c r="X256" s="891"/>
      <c r="Y256" s="514"/>
      <c r="Z256" s="885"/>
    </row>
    <row r="257" spans="1:26" ht="14.25" customHeight="1">
      <c r="B257" s="622"/>
      <c r="C257" s="623"/>
      <c r="D257" s="623"/>
      <c r="E257" s="624"/>
      <c r="F257" s="625"/>
      <c r="G257" s="626"/>
      <c r="H257" s="711"/>
      <c r="I257" s="885"/>
      <c r="J257" s="885"/>
      <c r="K257" s="262"/>
      <c r="L257" s="330">
        <v>10</v>
      </c>
      <c r="M257" s="331" t="s">
        <v>1077</v>
      </c>
      <c r="N257" s="331" t="s">
        <v>1104</v>
      </c>
      <c r="O257" s="639">
        <v>0.5</v>
      </c>
      <c r="P257" s="464"/>
      <c r="Q257" s="333">
        <f>O257*P256</f>
        <v>187500</v>
      </c>
      <c r="R257" s="1020"/>
      <c r="S257" s="660"/>
      <c r="T257" s="564">
        <f t="shared" si="36"/>
        <v>46173</v>
      </c>
      <c r="U257" s="548">
        <f t="shared" si="32"/>
        <v>188140.91771788313</v>
      </c>
      <c r="V257" s="897"/>
      <c r="W257" s="620">
        <f>'Project Plan'!K198+14</f>
        <v>46167</v>
      </c>
      <c r="X257" s="891"/>
      <c r="Y257" s="514"/>
      <c r="Z257" s="885"/>
    </row>
    <row r="258" spans="1:26" ht="14.25" customHeight="1">
      <c r="B258" s="622"/>
      <c r="C258" s="623"/>
      <c r="D258" s="623"/>
      <c r="E258" s="624"/>
      <c r="F258" s="625"/>
      <c r="G258" s="626"/>
      <c r="H258" s="711"/>
      <c r="I258" s="885"/>
      <c r="J258" s="885"/>
      <c r="K258" s="262"/>
      <c r="L258" s="330">
        <v>10</v>
      </c>
      <c r="M258" s="331" t="s">
        <v>1077</v>
      </c>
      <c r="N258" s="331"/>
      <c r="O258" s="581"/>
      <c r="P258" s="464"/>
      <c r="Q258" s="333"/>
      <c r="R258" s="1020"/>
      <c r="S258" s="660"/>
      <c r="T258" s="564" t="str">
        <f t="shared" si="36"/>
        <v/>
      </c>
      <c r="U258" s="548">
        <f t="shared" si="32"/>
        <v>0</v>
      </c>
      <c r="V258" s="897"/>
      <c r="W258" s="620"/>
      <c r="X258" s="891"/>
      <c r="Y258" s="514"/>
      <c r="Z258" s="885"/>
    </row>
    <row r="259" spans="1:26" ht="14.25" customHeight="1">
      <c r="B259" s="622"/>
      <c r="C259" s="623"/>
      <c r="D259" s="623"/>
      <c r="E259" s="624"/>
      <c r="F259" s="625"/>
      <c r="G259" s="626"/>
      <c r="H259" s="711"/>
      <c r="I259" s="885"/>
      <c r="J259" s="885"/>
      <c r="K259" s="262"/>
      <c r="L259" s="330">
        <v>10</v>
      </c>
      <c r="M259" s="331" t="s">
        <v>1077</v>
      </c>
      <c r="N259" s="331"/>
      <c r="O259" s="581"/>
      <c r="P259" s="464"/>
      <c r="Q259" s="333"/>
      <c r="R259" s="1020"/>
      <c r="S259" s="660"/>
      <c r="T259" s="564" t="str">
        <f t="shared" si="36"/>
        <v/>
      </c>
      <c r="U259" s="548">
        <f t="shared" si="32"/>
        <v>0</v>
      </c>
      <c r="V259" s="897"/>
      <c r="W259" s="620"/>
      <c r="X259" s="891"/>
      <c r="Y259" s="514"/>
      <c r="Z259" s="885"/>
    </row>
    <row r="260" spans="1:26" ht="14.25" customHeight="1">
      <c r="B260" s="622"/>
      <c r="C260" s="623"/>
      <c r="D260" s="623"/>
      <c r="E260" s="624"/>
      <c r="F260" s="625"/>
      <c r="G260" s="626"/>
      <c r="H260" s="711"/>
      <c r="I260" s="885"/>
      <c r="J260" s="885"/>
      <c r="K260" s="262"/>
      <c r="L260" s="330">
        <v>10</v>
      </c>
      <c r="M260" s="331" t="s">
        <v>1077</v>
      </c>
      <c r="N260" s="331"/>
      <c r="O260" s="581"/>
      <c r="P260" s="464"/>
      <c r="Q260" s="333"/>
      <c r="R260" s="1020"/>
      <c r="S260" s="660"/>
      <c r="T260" s="564" t="str">
        <f t="shared" si="36"/>
        <v/>
      </c>
      <c r="U260" s="548">
        <f t="shared" si="32"/>
        <v>0</v>
      </c>
      <c r="V260" s="897"/>
      <c r="W260" s="620"/>
      <c r="X260" s="891"/>
      <c r="Y260" s="514"/>
      <c r="Z260" s="885"/>
    </row>
    <row r="261" spans="1:26" ht="14.25" customHeight="1">
      <c r="B261" s="622"/>
      <c r="C261" s="623"/>
      <c r="D261" s="623"/>
      <c r="E261" s="624"/>
      <c r="F261" s="625"/>
      <c r="G261" s="626"/>
      <c r="H261" s="711"/>
      <c r="I261" s="885"/>
      <c r="J261" s="885"/>
      <c r="K261" s="262"/>
      <c r="L261" s="330">
        <v>10</v>
      </c>
      <c r="M261" s="331" t="s">
        <v>1077</v>
      </c>
      <c r="N261" s="331"/>
      <c r="O261" s="581"/>
      <c r="P261" s="464"/>
      <c r="Q261" s="333"/>
      <c r="R261" s="1020"/>
      <c r="S261" s="660"/>
      <c r="T261" s="564" t="str">
        <f t="shared" si="36"/>
        <v/>
      </c>
      <c r="U261" s="548">
        <f t="shared" si="32"/>
        <v>0</v>
      </c>
      <c r="V261" s="897"/>
      <c r="W261" s="620"/>
      <c r="X261" s="891"/>
      <c r="Y261" s="514"/>
      <c r="Z261" s="885"/>
    </row>
    <row r="262" spans="1:26" ht="14.25" customHeight="1">
      <c r="B262" s="622"/>
      <c r="C262" s="623"/>
      <c r="D262" s="623"/>
      <c r="E262" s="624"/>
      <c r="F262" s="625"/>
      <c r="G262" s="626"/>
      <c r="H262" s="711"/>
      <c r="I262" s="885"/>
      <c r="J262" s="885"/>
      <c r="K262" s="262"/>
      <c r="L262" s="330">
        <v>10</v>
      </c>
      <c r="M262" s="331" t="s">
        <v>1077</v>
      </c>
      <c r="N262" s="331"/>
      <c r="O262" s="581"/>
      <c r="P262" s="464"/>
      <c r="Q262" s="333"/>
      <c r="R262" s="1020"/>
      <c r="S262" s="660"/>
      <c r="T262" s="564" t="str">
        <f t="shared" si="36"/>
        <v/>
      </c>
      <c r="U262" s="548">
        <f t="shared" si="32"/>
        <v>0</v>
      </c>
      <c r="V262" s="897"/>
      <c r="W262" s="620"/>
      <c r="X262" s="891"/>
      <c r="Y262" s="514"/>
      <c r="Z262" s="885"/>
    </row>
    <row r="263" spans="1:26" ht="14.25" customHeight="1">
      <c r="B263" s="622"/>
      <c r="C263" s="623"/>
      <c r="D263" s="623"/>
      <c r="E263" s="624"/>
      <c r="F263" s="625"/>
      <c r="G263" s="626"/>
      <c r="H263" s="711"/>
      <c r="I263" s="885"/>
      <c r="J263" s="885"/>
      <c r="K263" s="262"/>
      <c r="L263" s="330">
        <v>10</v>
      </c>
      <c r="M263" s="331" t="s">
        <v>1077</v>
      </c>
      <c r="N263" s="331"/>
      <c r="O263" s="581"/>
      <c r="P263" s="464"/>
      <c r="Q263" s="333"/>
      <c r="R263" s="1020"/>
      <c r="S263" s="660"/>
      <c r="T263" s="564" t="str">
        <f t="shared" si="36"/>
        <v/>
      </c>
      <c r="U263" s="548">
        <f t="shared" si="32"/>
        <v>0</v>
      </c>
      <c r="V263" s="897"/>
      <c r="W263" s="620"/>
      <c r="X263" s="891"/>
      <c r="Y263" s="514"/>
      <c r="Z263" s="885"/>
    </row>
    <row r="264" spans="1:26" ht="14.25" customHeight="1">
      <c r="B264" s="622"/>
      <c r="C264" s="623"/>
      <c r="D264" s="623"/>
      <c r="E264" s="624"/>
      <c r="F264" s="625"/>
      <c r="G264" s="626"/>
      <c r="H264" s="711"/>
      <c r="I264" s="885"/>
      <c r="J264" s="885"/>
      <c r="K264" s="262"/>
      <c r="L264" s="330">
        <v>10</v>
      </c>
      <c r="M264" s="331" t="s">
        <v>1077</v>
      </c>
      <c r="N264" s="331"/>
      <c r="O264" s="581"/>
      <c r="P264" s="464"/>
      <c r="Q264" s="333"/>
      <c r="R264" s="1020"/>
      <c r="S264" s="660"/>
      <c r="T264" s="564" t="str">
        <f t="shared" si="36"/>
        <v/>
      </c>
      <c r="U264" s="548">
        <f t="shared" si="32"/>
        <v>0</v>
      </c>
      <c r="V264" s="897"/>
      <c r="W264" s="620"/>
      <c r="X264" s="891"/>
      <c r="Y264" s="514"/>
      <c r="Z264" s="885"/>
    </row>
    <row r="265" spans="1:26" ht="15" customHeight="1" thickBot="1">
      <c r="B265" s="263">
        <v>10</v>
      </c>
      <c r="C265" s="334"/>
      <c r="D265" s="334"/>
      <c r="E265" s="335"/>
      <c r="F265" s="465"/>
      <c r="G265" s="264"/>
      <c r="H265" s="712"/>
      <c r="I265" s="886"/>
      <c r="J265" s="886"/>
      <c r="K265" s="265"/>
      <c r="L265" s="263">
        <v>10</v>
      </c>
      <c r="M265" s="429" t="s">
        <v>1077</v>
      </c>
      <c r="N265" s="334"/>
      <c r="O265" s="335"/>
      <c r="P265" s="465"/>
      <c r="Q265" s="488"/>
      <c r="R265" s="1021"/>
      <c r="S265" s="661"/>
      <c r="T265" s="565" t="str">
        <f t="shared" si="36"/>
        <v/>
      </c>
      <c r="U265" s="549">
        <f t="shared" si="32"/>
        <v>0</v>
      </c>
      <c r="V265" s="898"/>
      <c r="W265" s="621"/>
      <c r="X265" s="892"/>
      <c r="Y265" s="515"/>
      <c r="Z265" s="886"/>
    </row>
    <row r="266" spans="1:26" ht="14.5" thickBot="1">
      <c r="A266" s="24"/>
      <c r="B266" s="266"/>
      <c r="C266" s="267"/>
      <c r="D266" s="267"/>
      <c r="E266" s="281"/>
      <c r="F266" s="449"/>
      <c r="G266" s="269"/>
      <c r="H266" s="696"/>
      <c r="I266" s="270"/>
      <c r="J266" s="394"/>
      <c r="K266" s="24"/>
      <c r="L266" s="266"/>
      <c r="M266" s="267"/>
      <c r="N266" s="267"/>
      <c r="O266" s="281"/>
      <c r="P266" s="449"/>
      <c r="Q266" s="489"/>
      <c r="R266" s="1022"/>
      <c r="S266" s="662"/>
      <c r="T266" s="553" t="str">
        <f>IF(W266&gt;1,EOMONTH(W266,0),"")</f>
        <v/>
      </c>
      <c r="U266" s="537"/>
      <c r="V266" s="522"/>
      <c r="W266" s="610"/>
      <c r="X266" s="340"/>
      <c r="Y266" s="508"/>
      <c r="Z266" s="270"/>
    </row>
    <row r="267" spans="1:26" ht="14.25" customHeight="1">
      <c r="B267" s="271">
        <v>11</v>
      </c>
      <c r="C267" s="272" t="s">
        <v>1105</v>
      </c>
      <c r="D267" s="341" t="s">
        <v>1106</v>
      </c>
      <c r="E267" s="273"/>
      <c r="F267" s="430"/>
      <c r="G267" s="274">
        <v>1500000</v>
      </c>
      <c r="H267" s="701">
        <v>45991</v>
      </c>
      <c r="I267" s="878">
        <f>SUM(G267:G315)</f>
        <v>1730000</v>
      </c>
      <c r="J267" s="878">
        <v>1880434.7826087</v>
      </c>
      <c r="K267" s="275"/>
      <c r="L267" s="271">
        <v>11</v>
      </c>
      <c r="M267" s="341" t="s">
        <v>1107</v>
      </c>
      <c r="N267" s="341" t="s">
        <v>1106</v>
      </c>
      <c r="O267" s="273"/>
      <c r="P267" s="430"/>
      <c r="Q267" s="480">
        <v>1500000</v>
      </c>
      <c r="R267" s="873"/>
      <c r="S267" s="653"/>
      <c r="T267" s="557">
        <f>IF(W267&gt;1,EOMONTH(W267,0),"")</f>
        <v>46203</v>
      </c>
      <c r="U267" s="542">
        <f t="shared" ref="U267:U295" si="38">(Q267/$X$267*$J$267)</f>
        <v>1083427.5123399787</v>
      </c>
      <c r="V267" s="893">
        <f>J267-SUM(U267:U315)</f>
        <v>-1.862645149230957E-9</v>
      </c>
      <c r="W267" s="614">
        <v>46203</v>
      </c>
      <c r="X267" s="887">
        <f>SUM(Q267:Q315)</f>
        <v>2603452.6000000006</v>
      </c>
      <c r="Y267" s="511"/>
      <c r="Z267" s="878">
        <f>I267-X267</f>
        <v>-873452.60000000056</v>
      </c>
    </row>
    <row r="268" spans="1:26" ht="15" customHeight="1">
      <c r="B268" s="301">
        <v>11</v>
      </c>
      <c r="C268" s="303"/>
      <c r="D268" s="303" t="s">
        <v>1108</v>
      </c>
      <c r="E268" s="304"/>
      <c r="F268" s="452"/>
      <c r="G268" s="305">
        <v>150000</v>
      </c>
      <c r="H268" s="693">
        <v>45785</v>
      </c>
      <c r="I268" s="879"/>
      <c r="J268" s="879"/>
      <c r="K268" s="278"/>
      <c r="L268" s="301">
        <v>11</v>
      </c>
      <c r="M268" s="381" t="s">
        <v>1107</v>
      </c>
      <c r="N268" s="303" t="s">
        <v>1109</v>
      </c>
      <c r="O268" s="304"/>
      <c r="P268" s="452"/>
      <c r="Q268" s="475">
        <v>15630</v>
      </c>
      <c r="R268" s="1004" t="s">
        <v>1110</v>
      </c>
      <c r="S268" s="645" t="s">
        <v>1111</v>
      </c>
      <c r="T268" s="550">
        <v>46081</v>
      </c>
      <c r="U268" s="534">
        <f t="shared" si="38"/>
        <v>11289.314678582577</v>
      </c>
      <c r="V268" s="894"/>
      <c r="W268" s="566">
        <v>45785</v>
      </c>
      <c r="X268" s="888"/>
      <c r="Y268" s="507"/>
      <c r="Z268" s="879"/>
    </row>
    <row r="269" spans="1:26" ht="15" customHeight="1">
      <c r="B269" s="301">
        <v>11</v>
      </c>
      <c r="C269" s="303"/>
      <c r="D269" s="303" t="s">
        <v>1112</v>
      </c>
      <c r="E269" s="304"/>
      <c r="F269" s="452"/>
      <c r="G269" s="305">
        <v>80000</v>
      </c>
      <c r="H269" s="693">
        <v>45807</v>
      </c>
      <c r="I269" s="879"/>
      <c r="J269" s="879"/>
      <c r="K269" s="278"/>
      <c r="L269" s="301">
        <v>11</v>
      </c>
      <c r="M269" s="381" t="s">
        <v>1107</v>
      </c>
      <c r="N269" s="303" t="s">
        <v>1112</v>
      </c>
      <c r="O269" s="304"/>
      <c r="P269" s="452"/>
      <c r="Q269" s="475">
        <v>102900</v>
      </c>
      <c r="R269" s="1004" t="s">
        <v>1113</v>
      </c>
      <c r="S269" s="645" t="s">
        <v>1114</v>
      </c>
      <c r="T269" s="550">
        <v>46081</v>
      </c>
      <c r="U269" s="534">
        <f t="shared" si="38"/>
        <v>74323.127346522524</v>
      </c>
      <c r="V269" s="894"/>
      <c r="W269" s="607">
        <v>46112</v>
      </c>
      <c r="X269" s="888"/>
      <c r="Y269" s="507"/>
      <c r="Z269" s="879"/>
    </row>
    <row r="270" spans="1:26" ht="15" customHeight="1">
      <c r="B270" s="301">
        <v>11</v>
      </c>
      <c r="C270" s="379"/>
      <c r="D270" s="379"/>
      <c r="E270" s="399"/>
      <c r="F270" s="437"/>
      <c r="G270" s="378"/>
      <c r="H270" s="694"/>
      <c r="I270" s="879"/>
      <c r="J270" s="879"/>
      <c r="K270" s="278"/>
      <c r="L270" s="301">
        <v>11</v>
      </c>
      <c r="M270" s="381" t="s">
        <v>1107</v>
      </c>
      <c r="N270" s="379" t="s">
        <v>1115</v>
      </c>
      <c r="O270" s="399"/>
      <c r="P270" s="437"/>
      <c r="Q270" s="485">
        <v>2400</v>
      </c>
      <c r="R270" s="1003"/>
      <c r="S270" s="646" t="s">
        <v>1116</v>
      </c>
      <c r="T270" s="550">
        <v>46081</v>
      </c>
      <c r="U270" s="535">
        <f t="shared" si="38"/>
        <v>1733.4840197439657</v>
      </c>
      <c r="V270" s="894"/>
      <c r="W270" s="567">
        <v>45785</v>
      </c>
      <c r="X270" s="888"/>
      <c r="Y270" s="507"/>
      <c r="Z270" s="879"/>
    </row>
    <row r="271" spans="1:26" ht="15" hidden="1" customHeight="1">
      <c r="B271" s="301">
        <v>11</v>
      </c>
      <c r="C271" s="379"/>
      <c r="D271" s="379"/>
      <c r="E271" s="399"/>
      <c r="F271" s="437"/>
      <c r="G271" s="378"/>
      <c r="H271" s="694"/>
      <c r="I271" s="879"/>
      <c r="J271" s="879"/>
      <c r="K271" s="278"/>
      <c r="L271" s="301">
        <v>11</v>
      </c>
      <c r="M271" s="381" t="s">
        <v>1107</v>
      </c>
      <c r="N271" s="379" t="s">
        <v>1117</v>
      </c>
      <c r="O271" s="399"/>
      <c r="P271" s="437">
        <v>356680</v>
      </c>
      <c r="Q271" s="485"/>
      <c r="R271" s="1003"/>
      <c r="S271" s="646"/>
      <c r="T271" s="551"/>
      <c r="U271" s="535">
        <f t="shared" si="38"/>
        <v>0</v>
      </c>
      <c r="V271" s="894"/>
      <c r="W271" s="608"/>
      <c r="X271" s="888"/>
      <c r="Y271" s="507"/>
      <c r="Z271" s="879"/>
    </row>
    <row r="272" spans="1:26" ht="15" hidden="1" customHeight="1">
      <c r="B272" s="301">
        <v>11</v>
      </c>
      <c r="C272" s="379"/>
      <c r="D272" s="379"/>
      <c r="E272" s="399"/>
      <c r="F272" s="437"/>
      <c r="G272" s="378"/>
      <c r="H272" s="694"/>
      <c r="I272" s="879"/>
      <c r="J272" s="879"/>
      <c r="K272" s="278"/>
      <c r="L272" s="301">
        <v>11</v>
      </c>
      <c r="M272" s="381" t="s">
        <v>1107</v>
      </c>
      <c r="N272" s="379" t="s">
        <v>1118</v>
      </c>
      <c r="O272" s="399"/>
      <c r="P272" s="485">
        <v>57615</v>
      </c>
      <c r="Q272" s="485"/>
      <c r="R272" s="1003" t="s">
        <v>1119</v>
      </c>
      <c r="S272" s="646"/>
      <c r="T272" s="551"/>
      <c r="U272" s="535">
        <f t="shared" si="38"/>
        <v>0</v>
      </c>
      <c r="V272" s="894"/>
      <c r="W272" s="607"/>
      <c r="X272" s="888"/>
      <c r="Y272" s="507"/>
      <c r="Z272" s="879"/>
    </row>
    <row r="273" spans="2:26" ht="15" customHeight="1">
      <c r="B273" s="301">
        <v>11</v>
      </c>
      <c r="C273" s="379"/>
      <c r="D273" s="379"/>
      <c r="E273" s="399"/>
      <c r="F273" s="437"/>
      <c r="G273" s="378"/>
      <c r="H273" s="694"/>
      <c r="I273" s="879"/>
      <c r="J273" s="879"/>
      <c r="K273" s="278"/>
      <c r="L273" s="301">
        <v>11</v>
      </c>
      <c r="M273" s="381" t="s">
        <v>1107</v>
      </c>
      <c r="N273" s="818" t="s">
        <v>1120</v>
      </c>
      <c r="O273" s="868"/>
      <c r="P273" s="866"/>
      <c r="Q273" s="869">
        <v>306500</v>
      </c>
      <c r="R273" s="1003" t="s">
        <v>1121</v>
      </c>
      <c r="S273" s="646"/>
      <c r="T273" s="551">
        <v>46081</v>
      </c>
      <c r="U273" s="535">
        <f t="shared" si="38"/>
        <v>221380.35502146897</v>
      </c>
      <c r="V273" s="894"/>
      <c r="W273" s="608">
        <f>T273+30</f>
        <v>46111</v>
      </c>
      <c r="X273" s="888"/>
      <c r="Y273" s="507"/>
      <c r="Z273" s="879"/>
    </row>
    <row r="274" spans="2:26" ht="15" customHeight="1" thickBot="1">
      <c r="B274" s="301">
        <v>11</v>
      </c>
      <c r="C274" s="379"/>
      <c r="D274" s="379"/>
      <c r="E274" s="399"/>
      <c r="F274" s="437"/>
      <c r="G274" s="378"/>
      <c r="H274" s="694"/>
      <c r="I274" s="879"/>
      <c r="J274" s="879"/>
      <c r="K274" s="278"/>
      <c r="L274" s="301">
        <v>11</v>
      </c>
      <c r="M274" s="381" t="s">
        <v>1107</v>
      </c>
      <c r="N274" s="379" t="s">
        <v>1122</v>
      </c>
      <c r="O274" s="399"/>
      <c r="P274" s="437"/>
      <c r="Q274" s="485">
        <v>11500</v>
      </c>
      <c r="R274" s="1003" t="s">
        <v>1123</v>
      </c>
      <c r="S274" s="646"/>
      <c r="T274" s="551">
        <v>46081</v>
      </c>
      <c r="U274" s="535">
        <f t="shared" si="38"/>
        <v>8306.277594606503</v>
      </c>
      <c r="V274" s="894"/>
      <c r="W274" s="608">
        <f>T274+30</f>
        <v>46111</v>
      </c>
      <c r="X274" s="888"/>
      <c r="Y274" s="507"/>
      <c r="Z274" s="879"/>
    </row>
    <row r="275" spans="2:26" ht="15" hidden="1" customHeight="1">
      <c r="B275" s="301">
        <v>11</v>
      </c>
      <c r="C275" s="379"/>
      <c r="D275" s="379"/>
      <c r="E275" s="399"/>
      <c r="F275" s="437"/>
      <c r="G275" s="378"/>
      <c r="H275" s="694"/>
      <c r="I275" s="879"/>
      <c r="J275" s="879"/>
      <c r="K275" s="278"/>
      <c r="L275" s="301">
        <v>11</v>
      </c>
      <c r="M275" s="381" t="s">
        <v>1107</v>
      </c>
      <c r="N275" s="379" t="s">
        <v>1124</v>
      </c>
      <c r="O275" s="399"/>
      <c r="P275" s="437">
        <v>57305</v>
      </c>
      <c r="Q275" s="485"/>
      <c r="R275" s="1003" t="s">
        <v>1125</v>
      </c>
      <c r="S275" s="646"/>
      <c r="T275" s="551"/>
      <c r="U275" s="535">
        <f t="shared" si="38"/>
        <v>0</v>
      </c>
      <c r="V275" s="894"/>
      <c r="W275" s="608"/>
      <c r="X275" s="888"/>
      <c r="Y275" s="507"/>
      <c r="Z275" s="879"/>
    </row>
    <row r="276" spans="2:26" ht="15" customHeight="1">
      <c r="B276" s="301">
        <v>11</v>
      </c>
      <c r="C276" s="379"/>
      <c r="D276" s="379"/>
      <c r="E276" s="399"/>
      <c r="F276" s="437"/>
      <c r="G276" s="378"/>
      <c r="H276" s="694"/>
      <c r="I276" s="879"/>
      <c r="J276" s="879"/>
      <c r="K276" s="278"/>
      <c r="L276" s="301">
        <v>11</v>
      </c>
      <c r="M276" s="381" t="s">
        <v>1107</v>
      </c>
      <c r="N276" s="766" t="s">
        <v>1126</v>
      </c>
      <c r="O276" s="455"/>
      <c r="P276" s="461"/>
      <c r="Q276" s="767"/>
      <c r="R276" s="901" t="s">
        <v>1127</v>
      </c>
      <c r="S276" s="646"/>
      <c r="T276" s="826"/>
      <c r="U276" s="535">
        <f t="shared" si="38"/>
        <v>0</v>
      </c>
      <c r="V276" s="894"/>
      <c r="W276" s="567"/>
      <c r="X276" s="888"/>
      <c r="Y276" s="507"/>
      <c r="Z276" s="879"/>
    </row>
    <row r="277" spans="2:26" ht="15" customHeight="1">
      <c r="B277" s="301"/>
      <c r="C277" s="379"/>
      <c r="D277" s="379"/>
      <c r="E277" s="399"/>
      <c r="F277" s="437"/>
      <c r="G277" s="378"/>
      <c r="H277" s="694"/>
      <c r="I277" s="879"/>
      <c r="J277" s="879"/>
      <c r="K277" s="278"/>
      <c r="L277" s="301">
        <v>11</v>
      </c>
      <c r="M277" s="381" t="s">
        <v>1107</v>
      </c>
      <c r="N277" s="870">
        <v>46054</v>
      </c>
      <c r="O277" s="399"/>
      <c r="P277" s="437"/>
      <c r="Q277" s="769">
        <v>6500</v>
      </c>
      <c r="R277" s="902"/>
      <c r="S277" s="646" t="s">
        <v>1128</v>
      </c>
      <c r="T277" s="826">
        <v>46081</v>
      </c>
      <c r="U277" s="535">
        <f t="shared" si="38"/>
        <v>4694.8525534732407</v>
      </c>
      <c r="V277" s="894"/>
      <c r="W277" s="567">
        <v>46066</v>
      </c>
      <c r="X277" s="888"/>
      <c r="Y277" s="507"/>
      <c r="Z277" s="879"/>
    </row>
    <row r="278" spans="2:26" ht="15" customHeight="1">
      <c r="B278" s="301"/>
      <c r="C278" s="379"/>
      <c r="D278" s="379"/>
      <c r="E278" s="399"/>
      <c r="F278" s="437"/>
      <c r="G278" s="378"/>
      <c r="H278" s="694"/>
      <c r="I278" s="879"/>
      <c r="J278" s="879"/>
      <c r="K278" s="278"/>
      <c r="L278" s="301">
        <v>11</v>
      </c>
      <c r="M278" s="381" t="s">
        <v>1107</v>
      </c>
      <c r="N278" s="870">
        <v>46082</v>
      </c>
      <c r="O278" s="399"/>
      <c r="P278" s="437"/>
      <c r="Q278" s="769">
        <v>6500</v>
      </c>
      <c r="R278" s="902"/>
      <c r="S278" s="646"/>
      <c r="T278" s="551">
        <v>46112</v>
      </c>
      <c r="U278" s="535">
        <f t="shared" si="38"/>
        <v>4694.8525534732407</v>
      </c>
      <c r="V278" s="894"/>
      <c r="W278" s="608">
        <f>T278</f>
        <v>46112</v>
      </c>
      <c r="X278" s="888"/>
      <c r="Y278" s="507"/>
      <c r="Z278" s="879"/>
    </row>
    <row r="279" spans="2:26" ht="15" customHeight="1">
      <c r="B279" s="301"/>
      <c r="C279" s="379"/>
      <c r="D279" s="379"/>
      <c r="E279" s="399"/>
      <c r="F279" s="437"/>
      <c r="G279" s="378"/>
      <c r="H279" s="694"/>
      <c r="I279" s="879"/>
      <c r="J279" s="879"/>
      <c r="K279" s="278"/>
      <c r="L279" s="301">
        <v>11</v>
      </c>
      <c r="M279" s="381" t="s">
        <v>1107</v>
      </c>
      <c r="N279" s="870">
        <v>46113</v>
      </c>
      <c r="O279" s="399"/>
      <c r="P279" s="437"/>
      <c r="Q279" s="769">
        <v>6500</v>
      </c>
      <c r="R279" s="902"/>
      <c r="S279" s="646"/>
      <c r="T279" s="551">
        <v>46142</v>
      </c>
      <c r="U279" s="535">
        <f t="shared" si="38"/>
        <v>4694.8525534732407</v>
      </c>
      <c r="V279" s="894"/>
      <c r="W279" s="608">
        <f t="shared" ref="W279:W293" si="39">T279</f>
        <v>46142</v>
      </c>
      <c r="X279" s="888"/>
      <c r="Y279" s="507"/>
      <c r="Z279" s="879"/>
    </row>
    <row r="280" spans="2:26" ht="15" customHeight="1">
      <c r="B280" s="301"/>
      <c r="C280" s="379"/>
      <c r="D280" s="379"/>
      <c r="E280" s="399"/>
      <c r="F280" s="437"/>
      <c r="G280" s="378"/>
      <c r="H280" s="694"/>
      <c r="I280" s="879"/>
      <c r="J280" s="879"/>
      <c r="K280" s="278"/>
      <c r="L280" s="301">
        <v>11</v>
      </c>
      <c r="M280" s="381" t="s">
        <v>1107</v>
      </c>
      <c r="N280" s="870">
        <v>46143</v>
      </c>
      <c r="O280" s="399"/>
      <c r="P280" s="437"/>
      <c r="Q280" s="769">
        <v>6500</v>
      </c>
      <c r="R280" s="902"/>
      <c r="S280" s="646"/>
      <c r="T280" s="551">
        <v>46173</v>
      </c>
      <c r="U280" s="535">
        <f t="shared" si="38"/>
        <v>4694.8525534732407</v>
      </c>
      <c r="V280" s="894"/>
      <c r="W280" s="608">
        <f t="shared" si="39"/>
        <v>46173</v>
      </c>
      <c r="X280" s="888"/>
      <c r="Y280" s="507"/>
      <c r="Z280" s="879"/>
    </row>
    <row r="281" spans="2:26" ht="15" customHeight="1">
      <c r="B281" s="301"/>
      <c r="C281" s="379"/>
      <c r="D281" s="379"/>
      <c r="E281" s="399"/>
      <c r="F281" s="437"/>
      <c r="G281" s="378"/>
      <c r="H281" s="694"/>
      <c r="I281" s="879"/>
      <c r="J281" s="879"/>
      <c r="K281" s="278"/>
      <c r="L281" s="301">
        <v>11</v>
      </c>
      <c r="M281" s="381" t="s">
        <v>1107</v>
      </c>
      <c r="N281" s="870">
        <v>46174</v>
      </c>
      <c r="O281" s="399"/>
      <c r="P281" s="437"/>
      <c r="Q281" s="769">
        <v>6500</v>
      </c>
      <c r="R281" s="902"/>
      <c r="S281" s="646"/>
      <c r="T281" s="551">
        <v>46203</v>
      </c>
      <c r="U281" s="535">
        <f t="shared" si="38"/>
        <v>4694.8525534732407</v>
      </c>
      <c r="V281" s="894"/>
      <c r="W281" s="608">
        <f t="shared" si="39"/>
        <v>46203</v>
      </c>
      <c r="X281" s="888"/>
      <c r="Y281" s="507"/>
      <c r="Z281" s="879"/>
    </row>
    <row r="282" spans="2:26" ht="15" customHeight="1">
      <c r="B282" s="301"/>
      <c r="C282" s="379"/>
      <c r="D282" s="379"/>
      <c r="E282" s="399"/>
      <c r="F282" s="437"/>
      <c r="G282" s="378"/>
      <c r="H282" s="694"/>
      <c r="I282" s="879"/>
      <c r="J282" s="879"/>
      <c r="K282" s="278"/>
      <c r="L282" s="301">
        <v>11</v>
      </c>
      <c r="M282" s="381" t="s">
        <v>1107</v>
      </c>
      <c r="N282" s="870">
        <v>46204</v>
      </c>
      <c r="O282" s="399"/>
      <c r="P282" s="437"/>
      <c r="Q282" s="769">
        <v>6500</v>
      </c>
      <c r="R282" s="902"/>
      <c r="S282" s="646"/>
      <c r="T282" s="551">
        <v>46234</v>
      </c>
      <c r="U282" s="535">
        <f t="shared" si="38"/>
        <v>4694.8525534732407</v>
      </c>
      <c r="V282" s="894"/>
      <c r="W282" s="608">
        <f t="shared" si="39"/>
        <v>46234</v>
      </c>
      <c r="X282" s="888"/>
      <c r="Y282" s="507"/>
      <c r="Z282" s="879"/>
    </row>
    <row r="283" spans="2:26" ht="15" customHeight="1">
      <c r="B283" s="301"/>
      <c r="C283" s="379"/>
      <c r="D283" s="379"/>
      <c r="E283" s="399"/>
      <c r="F283" s="437"/>
      <c r="G283" s="378"/>
      <c r="H283" s="694"/>
      <c r="I283" s="879"/>
      <c r="J283" s="879"/>
      <c r="K283" s="278"/>
      <c r="L283" s="301">
        <v>11</v>
      </c>
      <c r="M283" s="381" t="s">
        <v>1107</v>
      </c>
      <c r="N283" s="870">
        <v>46235</v>
      </c>
      <c r="O283" s="399"/>
      <c r="P283" s="437"/>
      <c r="Q283" s="769">
        <v>6500</v>
      </c>
      <c r="R283" s="902"/>
      <c r="S283" s="646"/>
      <c r="T283" s="551">
        <v>46265</v>
      </c>
      <c r="U283" s="535">
        <f t="shared" si="38"/>
        <v>4694.8525534732407</v>
      </c>
      <c r="V283" s="894"/>
      <c r="W283" s="608">
        <f t="shared" si="39"/>
        <v>46265</v>
      </c>
      <c r="X283" s="888"/>
      <c r="Y283" s="507"/>
      <c r="Z283" s="879"/>
    </row>
    <row r="284" spans="2:26" ht="15" customHeight="1">
      <c r="B284" s="301"/>
      <c r="C284" s="379"/>
      <c r="D284" s="379"/>
      <c r="E284" s="399"/>
      <c r="F284" s="437"/>
      <c r="G284" s="378"/>
      <c r="H284" s="694"/>
      <c r="I284" s="879"/>
      <c r="J284" s="879"/>
      <c r="K284" s="278"/>
      <c r="L284" s="301">
        <v>11</v>
      </c>
      <c r="M284" s="381" t="s">
        <v>1107</v>
      </c>
      <c r="N284" s="870">
        <v>46266</v>
      </c>
      <c r="O284" s="399"/>
      <c r="P284" s="437"/>
      <c r="Q284" s="769">
        <v>6500</v>
      </c>
      <c r="R284" s="902"/>
      <c r="S284" s="646"/>
      <c r="T284" s="551">
        <v>46295</v>
      </c>
      <c r="U284" s="535">
        <f t="shared" si="38"/>
        <v>4694.8525534732407</v>
      </c>
      <c r="V284" s="894"/>
      <c r="W284" s="608">
        <f t="shared" si="39"/>
        <v>46295</v>
      </c>
      <c r="X284" s="888"/>
      <c r="Y284" s="507"/>
      <c r="Z284" s="879"/>
    </row>
    <row r="285" spans="2:26" ht="15" customHeight="1" thickBot="1">
      <c r="B285" s="301"/>
      <c r="C285" s="379"/>
      <c r="D285" s="379"/>
      <c r="E285" s="399"/>
      <c r="F285" s="437"/>
      <c r="G285" s="378"/>
      <c r="H285" s="694"/>
      <c r="I285" s="879"/>
      <c r="J285" s="879"/>
      <c r="K285" s="278"/>
      <c r="L285" s="301">
        <v>11</v>
      </c>
      <c r="M285" s="381" t="s">
        <v>1107</v>
      </c>
      <c r="N285" s="871">
        <v>46296</v>
      </c>
      <c r="O285" s="308"/>
      <c r="P285" s="453"/>
      <c r="Q285" s="872">
        <v>6500</v>
      </c>
      <c r="R285" s="902"/>
      <c r="S285" s="646"/>
      <c r="T285" s="551">
        <v>46326</v>
      </c>
      <c r="U285" s="535">
        <f t="shared" si="38"/>
        <v>4694.8525534732407</v>
      </c>
      <c r="V285" s="894"/>
      <c r="W285" s="608">
        <f t="shared" si="39"/>
        <v>46326</v>
      </c>
      <c r="X285" s="888"/>
      <c r="Y285" s="507"/>
      <c r="Z285" s="879"/>
    </row>
    <row r="286" spans="2:26" ht="15" customHeight="1">
      <c r="B286" s="301"/>
      <c r="C286" s="379"/>
      <c r="D286" s="379"/>
      <c r="E286" s="399"/>
      <c r="F286" s="437"/>
      <c r="G286" s="378"/>
      <c r="H286" s="694"/>
      <c r="I286" s="879"/>
      <c r="J286" s="879"/>
      <c r="K286" s="278"/>
      <c r="L286" s="301">
        <v>11</v>
      </c>
      <c r="M286" s="381" t="s">
        <v>1107</v>
      </c>
      <c r="N286" s="766" t="s">
        <v>1129</v>
      </c>
      <c r="O286" s="455"/>
      <c r="P286" s="461"/>
      <c r="Q286" s="767"/>
      <c r="R286" s="902"/>
      <c r="S286" s="646"/>
      <c r="T286" s="551"/>
      <c r="U286" s="535">
        <f t="shared" si="38"/>
        <v>0</v>
      </c>
      <c r="V286" s="894"/>
      <c r="W286" s="608"/>
      <c r="X286" s="888"/>
      <c r="Y286" s="507"/>
      <c r="Z286" s="879"/>
    </row>
    <row r="287" spans="2:26" ht="15" customHeight="1">
      <c r="B287" s="301"/>
      <c r="C287" s="379"/>
      <c r="D287" s="379"/>
      <c r="E287" s="399"/>
      <c r="F287" s="437"/>
      <c r="G287" s="378"/>
      <c r="H287" s="694"/>
      <c r="I287" s="879"/>
      <c r="J287" s="879"/>
      <c r="K287" s="278"/>
      <c r="L287" s="301">
        <v>11</v>
      </c>
      <c r="M287" s="381" t="s">
        <v>1107</v>
      </c>
      <c r="N287" s="870">
        <v>46113</v>
      </c>
      <c r="O287" s="399"/>
      <c r="P287" s="437"/>
      <c r="Q287" s="769">
        <v>51000</v>
      </c>
      <c r="R287" s="902"/>
      <c r="S287" s="646"/>
      <c r="T287" s="551">
        <v>46142</v>
      </c>
      <c r="U287" s="535">
        <f t="shared" si="38"/>
        <v>36836.535419559274</v>
      </c>
      <c r="V287" s="894"/>
      <c r="W287" s="608">
        <f t="shared" si="39"/>
        <v>46142</v>
      </c>
      <c r="X287" s="888"/>
      <c r="Y287" s="507"/>
      <c r="Z287" s="879"/>
    </row>
    <row r="288" spans="2:26" ht="15" customHeight="1">
      <c r="B288" s="301"/>
      <c r="C288" s="379"/>
      <c r="D288" s="379"/>
      <c r="E288" s="399"/>
      <c r="F288" s="437"/>
      <c r="G288" s="378"/>
      <c r="H288" s="694"/>
      <c r="I288" s="879"/>
      <c r="J288" s="879"/>
      <c r="K288" s="278"/>
      <c r="L288" s="301">
        <v>11</v>
      </c>
      <c r="M288" s="381" t="s">
        <v>1107</v>
      </c>
      <c r="N288" s="870">
        <v>46143</v>
      </c>
      <c r="O288" s="399"/>
      <c r="P288" s="437"/>
      <c r="Q288" s="769">
        <v>51000</v>
      </c>
      <c r="R288" s="902"/>
      <c r="S288" s="646"/>
      <c r="T288" s="551">
        <v>46173</v>
      </c>
      <c r="U288" s="535">
        <f t="shared" si="38"/>
        <v>36836.535419559274</v>
      </c>
      <c r="V288" s="894"/>
      <c r="W288" s="608">
        <f t="shared" si="39"/>
        <v>46173</v>
      </c>
      <c r="X288" s="888"/>
      <c r="Y288" s="507"/>
      <c r="Z288" s="879"/>
    </row>
    <row r="289" spans="2:26" ht="15" customHeight="1">
      <c r="B289" s="301"/>
      <c r="C289" s="379"/>
      <c r="D289" s="379"/>
      <c r="E289" s="399"/>
      <c r="F289" s="437"/>
      <c r="G289" s="378"/>
      <c r="H289" s="694"/>
      <c r="I289" s="879"/>
      <c r="J289" s="879"/>
      <c r="K289" s="278"/>
      <c r="L289" s="301">
        <v>11</v>
      </c>
      <c r="M289" s="381" t="s">
        <v>1107</v>
      </c>
      <c r="N289" s="870">
        <v>46174</v>
      </c>
      <c r="O289" s="399"/>
      <c r="P289" s="437"/>
      <c r="Q289" s="769">
        <v>51000</v>
      </c>
      <c r="R289" s="902"/>
      <c r="S289" s="646"/>
      <c r="T289" s="551">
        <v>46203</v>
      </c>
      <c r="U289" s="535">
        <f t="shared" si="38"/>
        <v>36836.535419559274</v>
      </c>
      <c r="V289" s="894"/>
      <c r="W289" s="608">
        <f t="shared" si="39"/>
        <v>46203</v>
      </c>
      <c r="X289" s="888"/>
      <c r="Y289" s="507"/>
      <c r="Z289" s="879"/>
    </row>
    <row r="290" spans="2:26" ht="15" customHeight="1">
      <c r="B290" s="301"/>
      <c r="C290" s="379"/>
      <c r="D290" s="379"/>
      <c r="E290" s="399"/>
      <c r="F290" s="437"/>
      <c r="G290" s="378"/>
      <c r="H290" s="694"/>
      <c r="I290" s="879"/>
      <c r="J290" s="879"/>
      <c r="K290" s="278"/>
      <c r="L290" s="301">
        <v>11</v>
      </c>
      <c r="M290" s="381" t="s">
        <v>1107</v>
      </c>
      <c r="N290" s="870">
        <v>46204</v>
      </c>
      <c r="O290" s="399"/>
      <c r="P290" s="437"/>
      <c r="Q290" s="769">
        <v>51000</v>
      </c>
      <c r="R290" s="902"/>
      <c r="S290" s="646"/>
      <c r="T290" s="551">
        <v>46234</v>
      </c>
      <c r="U290" s="535">
        <f t="shared" si="38"/>
        <v>36836.535419559274</v>
      </c>
      <c r="V290" s="894"/>
      <c r="W290" s="608">
        <f t="shared" si="39"/>
        <v>46234</v>
      </c>
      <c r="X290" s="888"/>
      <c r="Y290" s="507"/>
      <c r="Z290" s="879"/>
    </row>
    <row r="291" spans="2:26" ht="15" customHeight="1">
      <c r="B291" s="301"/>
      <c r="C291" s="379"/>
      <c r="D291" s="379"/>
      <c r="E291" s="399"/>
      <c r="F291" s="437"/>
      <c r="G291" s="378"/>
      <c r="H291" s="694"/>
      <c r="I291" s="879"/>
      <c r="J291" s="879"/>
      <c r="K291" s="278"/>
      <c r="L291" s="301">
        <v>11</v>
      </c>
      <c r="M291" s="381" t="s">
        <v>1107</v>
      </c>
      <c r="N291" s="870">
        <v>46235</v>
      </c>
      <c r="O291" s="399"/>
      <c r="P291" s="437"/>
      <c r="Q291" s="769">
        <v>51000</v>
      </c>
      <c r="R291" s="902"/>
      <c r="S291" s="646"/>
      <c r="T291" s="551">
        <v>46265</v>
      </c>
      <c r="U291" s="535">
        <f t="shared" si="38"/>
        <v>36836.535419559274</v>
      </c>
      <c r="V291" s="894"/>
      <c r="W291" s="608">
        <f t="shared" si="39"/>
        <v>46265</v>
      </c>
      <c r="X291" s="888"/>
      <c r="Y291" s="507"/>
      <c r="Z291" s="879"/>
    </row>
    <row r="292" spans="2:26" ht="15" customHeight="1">
      <c r="B292" s="301"/>
      <c r="C292" s="379"/>
      <c r="D292" s="379"/>
      <c r="E292" s="399"/>
      <c r="F292" s="437"/>
      <c r="G292" s="378"/>
      <c r="H292" s="694"/>
      <c r="I292" s="879"/>
      <c r="J292" s="879"/>
      <c r="K292" s="278"/>
      <c r="L292" s="301">
        <v>11</v>
      </c>
      <c r="M292" s="381" t="s">
        <v>1107</v>
      </c>
      <c r="N292" s="870">
        <v>46266</v>
      </c>
      <c r="O292" s="399"/>
      <c r="P292" s="437"/>
      <c r="Q292" s="769">
        <v>51000</v>
      </c>
      <c r="R292" s="902"/>
      <c r="S292" s="646"/>
      <c r="T292" s="551">
        <v>46295</v>
      </c>
      <c r="U292" s="535">
        <f t="shared" si="38"/>
        <v>36836.535419559274</v>
      </c>
      <c r="V292" s="894"/>
      <c r="W292" s="608">
        <f t="shared" si="39"/>
        <v>46295</v>
      </c>
      <c r="X292" s="888"/>
      <c r="Y292" s="507"/>
      <c r="Z292" s="879"/>
    </row>
    <row r="293" spans="2:26" ht="15" customHeight="1" thickBot="1">
      <c r="B293" s="301"/>
      <c r="C293" s="379"/>
      <c r="D293" s="379"/>
      <c r="E293" s="399"/>
      <c r="F293" s="437"/>
      <c r="G293" s="378"/>
      <c r="H293" s="694"/>
      <c r="I293" s="879"/>
      <c r="J293" s="879"/>
      <c r="K293" s="278"/>
      <c r="L293" s="301">
        <v>11</v>
      </c>
      <c r="M293" s="381" t="s">
        <v>1107</v>
      </c>
      <c r="N293" s="870">
        <v>46296</v>
      </c>
      <c r="O293" s="399"/>
      <c r="P293" s="437"/>
      <c r="Q293" s="769">
        <v>51000</v>
      </c>
      <c r="R293" s="902"/>
      <c r="S293" s="646"/>
      <c r="T293" s="551">
        <v>46326</v>
      </c>
      <c r="U293" s="535">
        <f t="shared" si="38"/>
        <v>36836.535419559274</v>
      </c>
      <c r="V293" s="894"/>
      <c r="W293" s="608">
        <f t="shared" si="39"/>
        <v>46326</v>
      </c>
      <c r="X293" s="888"/>
      <c r="Y293" s="507"/>
      <c r="Z293" s="879"/>
    </row>
    <row r="294" spans="2:26" ht="15" customHeight="1">
      <c r="B294" s="301">
        <v>11</v>
      </c>
      <c r="C294" s="379"/>
      <c r="D294" s="379"/>
      <c r="E294" s="399"/>
      <c r="F294" s="437"/>
      <c r="G294" s="378"/>
      <c r="H294" s="694"/>
      <c r="I294" s="879"/>
      <c r="J294" s="879"/>
      <c r="K294" s="278"/>
      <c r="L294" s="301">
        <v>11</v>
      </c>
      <c r="M294" s="765" t="s">
        <v>1107</v>
      </c>
      <c r="N294" s="766" t="s">
        <v>1130</v>
      </c>
      <c r="O294" s="455"/>
      <c r="P294" s="461"/>
      <c r="Q294" s="767"/>
      <c r="R294" s="903" t="s">
        <v>1131</v>
      </c>
      <c r="S294" s="646"/>
      <c r="T294" s="551" t="str">
        <f t="shared" si="36"/>
        <v/>
      </c>
      <c r="U294" s="535">
        <f t="shared" si="38"/>
        <v>0</v>
      </c>
      <c r="V294" s="894"/>
      <c r="W294" s="608"/>
      <c r="X294" s="888"/>
      <c r="Y294" s="507"/>
      <c r="Z294" s="879"/>
    </row>
    <row r="295" spans="2:26" ht="15" customHeight="1">
      <c r="B295" s="301"/>
      <c r="C295" s="379"/>
      <c r="D295" s="379"/>
      <c r="E295" s="399"/>
      <c r="F295" s="437"/>
      <c r="G295" s="378"/>
      <c r="H295" s="694"/>
      <c r="I295" s="879"/>
      <c r="J295" s="879"/>
      <c r="K295" s="278"/>
      <c r="L295" s="301">
        <v>11</v>
      </c>
      <c r="M295" s="765" t="s">
        <v>1107</v>
      </c>
      <c r="N295" s="768" t="s">
        <v>1132</v>
      </c>
      <c r="O295" s="399"/>
      <c r="P295" s="437"/>
      <c r="Q295" s="769">
        <v>12000</v>
      </c>
      <c r="R295" s="894"/>
      <c r="S295" s="646"/>
      <c r="T295" s="551">
        <v>46081</v>
      </c>
      <c r="U295" s="535">
        <f t="shared" si="38"/>
        <v>8667.4200987198292</v>
      </c>
      <c r="V295" s="894"/>
      <c r="W295" s="608">
        <f>T295+30</f>
        <v>46111</v>
      </c>
      <c r="X295" s="888"/>
      <c r="Y295" s="507"/>
      <c r="Z295" s="879"/>
    </row>
    <row r="296" spans="2:26" ht="15" customHeight="1">
      <c r="B296" s="301"/>
      <c r="C296" s="379"/>
      <c r="D296" s="379"/>
      <c r="E296" s="399"/>
      <c r="F296" s="437"/>
      <c r="G296" s="378"/>
      <c r="H296" s="694"/>
      <c r="I296" s="879"/>
      <c r="J296" s="879"/>
      <c r="K296" s="278"/>
      <c r="L296" s="301">
        <v>11</v>
      </c>
      <c r="M296" s="765" t="s">
        <v>1107</v>
      </c>
      <c r="N296" s="768" t="s">
        <v>1133</v>
      </c>
      <c r="O296" s="399"/>
      <c r="P296" s="437"/>
      <c r="Q296" s="769">
        <v>10000</v>
      </c>
      <c r="R296" s="894"/>
      <c r="S296" s="646"/>
      <c r="T296" s="551">
        <v>46081</v>
      </c>
      <c r="U296" s="535">
        <f t="shared" ref="U296" si="40">(Q296/$X$267*$J$267)</f>
        <v>7222.8500822665246</v>
      </c>
      <c r="V296" s="894"/>
      <c r="W296" s="608">
        <f>W295</f>
        <v>46111</v>
      </c>
      <c r="X296" s="888"/>
      <c r="Y296" s="507"/>
      <c r="Z296" s="879"/>
    </row>
    <row r="297" spans="2:26" ht="15" customHeight="1">
      <c r="B297" s="301"/>
      <c r="C297" s="379"/>
      <c r="D297" s="379"/>
      <c r="E297" s="399"/>
      <c r="F297" s="437"/>
      <c r="G297" s="378"/>
      <c r="H297" s="694"/>
      <c r="I297" s="879"/>
      <c r="J297" s="879"/>
      <c r="K297" s="278"/>
      <c r="L297" s="301">
        <v>11</v>
      </c>
      <c r="M297" s="765" t="s">
        <v>1107</v>
      </c>
      <c r="N297" s="870">
        <v>46113</v>
      </c>
      <c r="O297" s="399"/>
      <c r="P297" s="437"/>
      <c r="Q297" s="769">
        <v>9128.7999999999993</v>
      </c>
      <c r="R297" s="894"/>
      <c r="S297" s="646"/>
      <c r="T297" s="551">
        <v>46081</v>
      </c>
      <c r="U297" s="535">
        <f t="shared" ref="U297:U315" si="41">(Q297/$X$267*$J$267)</f>
        <v>6593.595383099464</v>
      </c>
      <c r="V297" s="894"/>
      <c r="W297" s="608">
        <f t="shared" ref="W297:W303" si="42">T297+30</f>
        <v>46111</v>
      </c>
      <c r="X297" s="888"/>
      <c r="Y297" s="507"/>
      <c r="Z297" s="879"/>
    </row>
    <row r="298" spans="2:26" ht="15" customHeight="1">
      <c r="B298" s="301"/>
      <c r="C298" s="379"/>
      <c r="D298" s="379"/>
      <c r="E298" s="399"/>
      <c r="F298" s="437"/>
      <c r="G298" s="378"/>
      <c r="H298" s="694"/>
      <c r="I298" s="879"/>
      <c r="J298" s="879"/>
      <c r="K298" s="278"/>
      <c r="L298" s="301">
        <v>11</v>
      </c>
      <c r="M298" s="765" t="s">
        <v>1107</v>
      </c>
      <c r="N298" s="870">
        <v>46143</v>
      </c>
      <c r="O298" s="399"/>
      <c r="P298" s="437"/>
      <c r="Q298" s="769">
        <v>18257.599999999999</v>
      </c>
      <c r="R298" s="894"/>
      <c r="S298" s="646"/>
      <c r="T298" s="551">
        <v>46081</v>
      </c>
      <c r="U298" s="535">
        <f t="shared" si="41"/>
        <v>13187.190766198928</v>
      </c>
      <c r="V298" s="894"/>
      <c r="W298" s="608">
        <f t="shared" si="42"/>
        <v>46111</v>
      </c>
      <c r="X298" s="888"/>
      <c r="Y298" s="507"/>
      <c r="Z298" s="879"/>
    </row>
    <row r="299" spans="2:26" ht="15" customHeight="1">
      <c r="B299" s="301"/>
      <c r="C299" s="379"/>
      <c r="D299" s="379"/>
      <c r="E299" s="399"/>
      <c r="F299" s="437"/>
      <c r="G299" s="378"/>
      <c r="H299" s="694"/>
      <c r="I299" s="879"/>
      <c r="J299" s="879"/>
      <c r="K299" s="278"/>
      <c r="L299" s="301">
        <v>11</v>
      </c>
      <c r="M299" s="765" t="s">
        <v>1107</v>
      </c>
      <c r="N299" s="870">
        <v>46174</v>
      </c>
      <c r="O299" s="399"/>
      <c r="P299" s="437"/>
      <c r="Q299" s="769">
        <v>18257.599999999999</v>
      </c>
      <c r="R299" s="894"/>
      <c r="S299" s="646"/>
      <c r="T299" s="551">
        <v>46112</v>
      </c>
      <c r="U299" s="535">
        <f t="shared" si="41"/>
        <v>13187.190766198928</v>
      </c>
      <c r="V299" s="894"/>
      <c r="W299" s="608">
        <f t="shared" si="42"/>
        <v>46142</v>
      </c>
      <c r="X299" s="888"/>
      <c r="Y299" s="507"/>
      <c r="Z299" s="879"/>
    </row>
    <row r="300" spans="2:26" ht="15" customHeight="1">
      <c r="B300" s="301"/>
      <c r="C300" s="379"/>
      <c r="D300" s="379"/>
      <c r="E300" s="399"/>
      <c r="F300" s="437"/>
      <c r="G300" s="378"/>
      <c r="H300" s="694"/>
      <c r="I300" s="879"/>
      <c r="J300" s="879"/>
      <c r="K300" s="278"/>
      <c r="L300" s="301">
        <v>11</v>
      </c>
      <c r="M300" s="765" t="s">
        <v>1107</v>
      </c>
      <c r="N300" s="870">
        <v>46204</v>
      </c>
      <c r="O300" s="399"/>
      <c r="P300" s="437"/>
      <c r="Q300" s="769">
        <v>18257.599999999999</v>
      </c>
      <c r="R300" s="894"/>
      <c r="S300" s="646"/>
      <c r="T300" s="551">
        <v>46142</v>
      </c>
      <c r="U300" s="535">
        <f t="shared" si="41"/>
        <v>13187.190766198928</v>
      </c>
      <c r="V300" s="894"/>
      <c r="W300" s="608">
        <f t="shared" si="42"/>
        <v>46172</v>
      </c>
      <c r="X300" s="888"/>
      <c r="Y300" s="507"/>
      <c r="Z300" s="879"/>
    </row>
    <row r="301" spans="2:26" ht="15" customHeight="1">
      <c r="B301" s="301"/>
      <c r="C301" s="379"/>
      <c r="D301" s="379"/>
      <c r="E301" s="399"/>
      <c r="F301" s="437"/>
      <c r="G301" s="378"/>
      <c r="H301" s="694"/>
      <c r="I301" s="879"/>
      <c r="J301" s="879"/>
      <c r="K301" s="278"/>
      <c r="L301" s="301">
        <v>11</v>
      </c>
      <c r="M301" s="765" t="s">
        <v>1107</v>
      </c>
      <c r="N301" s="870">
        <v>46235</v>
      </c>
      <c r="O301" s="399"/>
      <c r="P301" s="437"/>
      <c r="Q301" s="769">
        <v>18257.599999999999</v>
      </c>
      <c r="R301" s="894"/>
      <c r="S301" s="646"/>
      <c r="T301" s="551">
        <v>46173</v>
      </c>
      <c r="U301" s="535">
        <f t="shared" si="41"/>
        <v>13187.190766198928</v>
      </c>
      <c r="V301" s="894"/>
      <c r="W301" s="608">
        <f t="shared" si="42"/>
        <v>46203</v>
      </c>
      <c r="X301" s="888"/>
      <c r="Y301" s="507"/>
      <c r="Z301" s="879"/>
    </row>
    <row r="302" spans="2:26" ht="15" customHeight="1">
      <c r="B302" s="301"/>
      <c r="C302" s="379"/>
      <c r="D302" s="379"/>
      <c r="E302" s="399"/>
      <c r="F302" s="437"/>
      <c r="G302" s="378"/>
      <c r="H302" s="694"/>
      <c r="I302" s="879"/>
      <c r="J302" s="879"/>
      <c r="K302" s="278"/>
      <c r="L302" s="301">
        <v>11</v>
      </c>
      <c r="M302" s="765" t="s">
        <v>1107</v>
      </c>
      <c r="N302" s="870">
        <v>46266</v>
      </c>
      <c r="O302" s="399"/>
      <c r="P302" s="437"/>
      <c r="Q302" s="769">
        <v>18257.599999999999</v>
      </c>
      <c r="R302" s="894"/>
      <c r="S302" s="646"/>
      <c r="T302" s="551">
        <v>46203</v>
      </c>
      <c r="U302" s="535">
        <f t="shared" si="41"/>
        <v>13187.190766198928</v>
      </c>
      <c r="V302" s="894"/>
      <c r="W302" s="608">
        <f t="shared" si="42"/>
        <v>46233</v>
      </c>
      <c r="X302" s="888"/>
      <c r="Y302" s="507"/>
      <c r="Z302" s="879"/>
    </row>
    <row r="303" spans="2:26" ht="15" customHeight="1" thickBot="1">
      <c r="B303" s="301"/>
      <c r="C303" s="379"/>
      <c r="D303" s="379"/>
      <c r="E303" s="399"/>
      <c r="F303" s="437"/>
      <c r="G303" s="378"/>
      <c r="H303" s="694"/>
      <c r="I303" s="879"/>
      <c r="J303" s="879"/>
      <c r="K303" s="278"/>
      <c r="L303" s="301">
        <v>11</v>
      </c>
      <c r="M303" s="765" t="s">
        <v>1107</v>
      </c>
      <c r="N303" s="871">
        <v>46296</v>
      </c>
      <c r="O303" s="308"/>
      <c r="P303" s="453"/>
      <c r="Q303" s="770">
        <v>18257.599999999999</v>
      </c>
      <c r="R303" s="904"/>
      <c r="S303" s="646"/>
      <c r="T303" s="551">
        <v>46234</v>
      </c>
      <c r="U303" s="535">
        <f t="shared" si="41"/>
        <v>13187.190766198928</v>
      </c>
      <c r="V303" s="894"/>
      <c r="W303" s="608">
        <f t="shared" si="42"/>
        <v>46264</v>
      </c>
      <c r="X303" s="888"/>
      <c r="Y303" s="507"/>
      <c r="Z303" s="879"/>
    </row>
    <row r="304" spans="2:26" ht="15" customHeight="1">
      <c r="B304" s="301"/>
      <c r="C304" s="379"/>
      <c r="D304" s="379"/>
      <c r="E304" s="399"/>
      <c r="F304" s="437"/>
      <c r="G304" s="378"/>
      <c r="H304" s="694"/>
      <c r="I304" s="879"/>
      <c r="J304" s="879"/>
      <c r="K304" s="278"/>
      <c r="L304" s="301">
        <v>11</v>
      </c>
      <c r="M304" s="381" t="s">
        <v>1107</v>
      </c>
      <c r="N304" s="379" t="s">
        <v>1134</v>
      </c>
      <c r="O304" s="399"/>
      <c r="P304" s="437"/>
      <c r="Q304" s="485">
        <v>30998.2</v>
      </c>
      <c r="R304" s="1003" t="s">
        <v>1135</v>
      </c>
      <c r="S304" s="646"/>
      <c r="T304" s="551">
        <v>46081</v>
      </c>
      <c r="U304" s="535">
        <f t="shared" si="41"/>
        <v>22389.535142011417</v>
      </c>
      <c r="V304" s="894"/>
      <c r="W304" s="608">
        <v>46081</v>
      </c>
      <c r="X304" s="888"/>
      <c r="Y304" s="507"/>
      <c r="Z304" s="879"/>
    </row>
    <row r="305" spans="1:26" ht="15" customHeight="1">
      <c r="B305" s="301"/>
      <c r="C305" s="379"/>
      <c r="D305" s="379"/>
      <c r="E305" s="399"/>
      <c r="F305" s="437"/>
      <c r="G305" s="378"/>
      <c r="H305" s="694"/>
      <c r="I305" s="879"/>
      <c r="J305" s="879"/>
      <c r="K305" s="278"/>
      <c r="L305" s="301">
        <v>11</v>
      </c>
      <c r="M305" s="381" t="s">
        <v>1107</v>
      </c>
      <c r="N305" s="379" t="s">
        <v>1136</v>
      </c>
      <c r="O305" s="399"/>
      <c r="P305" s="437"/>
      <c r="Q305" s="485">
        <v>69750</v>
      </c>
      <c r="R305" s="901" t="s">
        <v>1137</v>
      </c>
      <c r="S305" s="646"/>
      <c r="T305" s="551">
        <v>46081</v>
      </c>
      <c r="U305" s="535">
        <f t="shared" si="41"/>
        <v>50379.379323809</v>
      </c>
      <c r="V305" s="894"/>
      <c r="W305" s="608">
        <f>T305+7</f>
        <v>46088</v>
      </c>
      <c r="X305" s="888"/>
      <c r="Y305" s="507"/>
      <c r="Z305" s="879"/>
    </row>
    <row r="306" spans="1:26" ht="15" customHeight="1">
      <c r="B306" s="301"/>
      <c r="C306" s="379"/>
      <c r="D306" s="379"/>
      <c r="E306" s="399"/>
      <c r="F306" s="437"/>
      <c r="G306" s="378"/>
      <c r="H306" s="694"/>
      <c r="I306" s="879"/>
      <c r="J306" s="879"/>
      <c r="K306" s="278"/>
      <c r="L306" s="301">
        <v>11</v>
      </c>
      <c r="M306" s="381" t="s">
        <v>1107</v>
      </c>
      <c r="N306" s="379" t="s">
        <v>1369</v>
      </c>
      <c r="O306" s="399"/>
      <c r="P306" s="437"/>
      <c r="Q306" s="485">
        <f>77350-Q305</f>
        <v>7600</v>
      </c>
      <c r="R306" s="923"/>
      <c r="S306" s="646"/>
      <c r="T306" s="551">
        <v>46265</v>
      </c>
      <c r="U306" s="535">
        <f t="shared" si="41"/>
        <v>5489.3660625225575</v>
      </c>
      <c r="V306" s="894"/>
      <c r="W306" s="608">
        <f>T306+30</f>
        <v>46295</v>
      </c>
      <c r="X306" s="888"/>
      <c r="Y306" s="507"/>
      <c r="Z306" s="879"/>
    </row>
    <row r="307" spans="1:26" ht="15" customHeight="1">
      <c r="B307" s="301"/>
      <c r="C307" s="379"/>
      <c r="D307" s="379"/>
      <c r="E307" s="399"/>
      <c r="F307" s="437"/>
      <c r="G307" s="378"/>
      <c r="H307" s="694"/>
      <c r="I307" s="879"/>
      <c r="J307" s="879"/>
      <c r="K307" s="278"/>
      <c r="L307" s="301">
        <v>11</v>
      </c>
      <c r="M307" s="381" t="s">
        <v>1107</v>
      </c>
      <c r="N307" s="379"/>
      <c r="O307" s="399"/>
      <c r="P307" s="437"/>
      <c r="Q307" s="485"/>
      <c r="R307" s="1003"/>
      <c r="S307" s="646"/>
      <c r="T307" s="551"/>
      <c r="U307" s="535">
        <f t="shared" si="41"/>
        <v>0</v>
      </c>
      <c r="V307" s="894"/>
      <c r="W307" s="608"/>
      <c r="X307" s="888"/>
      <c r="Y307" s="507"/>
      <c r="Z307" s="879"/>
    </row>
    <row r="308" spans="1:26" ht="15" customHeight="1">
      <c r="B308" s="301"/>
      <c r="C308" s="379"/>
      <c r="D308" s="379"/>
      <c r="E308" s="399"/>
      <c r="F308" s="437"/>
      <c r="G308" s="378"/>
      <c r="H308" s="694"/>
      <c r="I308" s="879"/>
      <c r="J308" s="879"/>
      <c r="K308" s="278"/>
      <c r="L308" s="301">
        <v>11</v>
      </c>
      <c r="M308" s="381" t="s">
        <v>1107</v>
      </c>
      <c r="N308" s="379"/>
      <c r="O308" s="399"/>
      <c r="P308" s="437"/>
      <c r="Q308" s="485"/>
      <c r="R308" s="1003"/>
      <c r="S308" s="646"/>
      <c r="T308" s="551"/>
      <c r="U308" s="535">
        <f t="shared" si="41"/>
        <v>0</v>
      </c>
      <c r="V308" s="894"/>
      <c r="W308" s="608"/>
      <c r="X308" s="888"/>
      <c r="Y308" s="507"/>
      <c r="Z308" s="879"/>
    </row>
    <row r="309" spans="1:26" ht="15" customHeight="1">
      <c r="B309" s="301"/>
      <c r="C309" s="379"/>
      <c r="D309" s="379"/>
      <c r="E309" s="399"/>
      <c r="F309" s="437"/>
      <c r="G309" s="378"/>
      <c r="H309" s="694"/>
      <c r="I309" s="879"/>
      <c r="J309" s="879"/>
      <c r="K309" s="278"/>
      <c r="L309" s="301">
        <v>11</v>
      </c>
      <c r="M309" s="381" t="s">
        <v>1107</v>
      </c>
      <c r="N309" s="379"/>
      <c r="O309" s="399"/>
      <c r="P309" s="437"/>
      <c r="Q309" s="485"/>
      <c r="R309" s="1003"/>
      <c r="S309" s="646"/>
      <c r="T309" s="551"/>
      <c r="U309" s="535">
        <f t="shared" si="41"/>
        <v>0</v>
      </c>
      <c r="V309" s="894"/>
      <c r="W309" s="608"/>
      <c r="X309" s="888"/>
      <c r="Y309" s="507"/>
      <c r="Z309" s="879"/>
    </row>
    <row r="310" spans="1:26" ht="15" customHeight="1">
      <c r="B310" s="301"/>
      <c r="C310" s="379"/>
      <c r="D310" s="379"/>
      <c r="E310" s="399"/>
      <c r="F310" s="437"/>
      <c r="G310" s="378"/>
      <c r="H310" s="694"/>
      <c r="I310" s="879"/>
      <c r="J310" s="879"/>
      <c r="K310" s="278"/>
      <c r="L310" s="301">
        <v>11</v>
      </c>
      <c r="M310" s="381" t="s">
        <v>1107</v>
      </c>
      <c r="N310" s="379"/>
      <c r="O310" s="399"/>
      <c r="P310" s="437"/>
      <c r="Q310" s="485"/>
      <c r="R310" s="1003"/>
      <c r="S310" s="646"/>
      <c r="T310" s="551"/>
      <c r="U310" s="535">
        <f t="shared" si="41"/>
        <v>0</v>
      </c>
      <c r="V310" s="894"/>
      <c r="W310" s="608"/>
      <c r="X310" s="888"/>
      <c r="Y310" s="507"/>
      <c r="Z310" s="879"/>
    </row>
    <row r="311" spans="1:26" ht="15" customHeight="1">
      <c r="B311" s="301">
        <v>11</v>
      </c>
      <c r="C311" s="379"/>
      <c r="D311" s="379"/>
      <c r="E311" s="399"/>
      <c r="F311" s="437"/>
      <c r="G311" s="378"/>
      <c r="H311" s="694"/>
      <c r="I311" s="879"/>
      <c r="J311" s="879"/>
      <c r="K311" s="278"/>
      <c r="L311" s="301">
        <v>11</v>
      </c>
      <c r="M311" s="381" t="s">
        <v>1107</v>
      </c>
      <c r="N311" s="379"/>
      <c r="O311" s="399"/>
      <c r="P311" s="437"/>
      <c r="Q311" s="485"/>
      <c r="R311" s="1003"/>
      <c r="S311" s="646"/>
      <c r="T311" s="551" t="str">
        <f t="shared" si="36"/>
        <v/>
      </c>
      <c r="U311" s="535">
        <f t="shared" si="41"/>
        <v>0</v>
      </c>
      <c r="V311" s="894"/>
      <c r="W311" s="608"/>
      <c r="X311" s="888"/>
      <c r="Y311" s="507"/>
      <c r="Z311" s="879"/>
    </row>
    <row r="312" spans="1:26" ht="15" customHeight="1">
      <c r="B312" s="301">
        <v>11</v>
      </c>
      <c r="C312" s="379"/>
      <c r="D312" s="379"/>
      <c r="E312" s="399"/>
      <c r="F312" s="437"/>
      <c r="G312" s="378"/>
      <c r="H312" s="694"/>
      <c r="I312" s="879"/>
      <c r="J312" s="879"/>
      <c r="K312" s="278"/>
      <c r="L312" s="301">
        <v>11</v>
      </c>
      <c r="M312" s="381" t="s">
        <v>1107</v>
      </c>
      <c r="N312" s="379"/>
      <c r="O312" s="399"/>
      <c r="P312" s="437"/>
      <c r="Q312" s="485"/>
      <c r="R312" s="1003"/>
      <c r="S312" s="646"/>
      <c r="T312" s="551" t="str">
        <f t="shared" si="36"/>
        <v/>
      </c>
      <c r="U312" s="535">
        <f t="shared" si="41"/>
        <v>0</v>
      </c>
      <c r="V312" s="894"/>
      <c r="W312" s="608"/>
      <c r="X312" s="888"/>
      <c r="Y312" s="507"/>
      <c r="Z312" s="879"/>
    </row>
    <row r="313" spans="1:26" ht="15" customHeight="1">
      <c r="B313" s="301">
        <v>11</v>
      </c>
      <c r="C313" s="379"/>
      <c r="D313" s="379"/>
      <c r="E313" s="399"/>
      <c r="F313" s="437"/>
      <c r="G313" s="378"/>
      <c r="H313" s="694"/>
      <c r="I313" s="879"/>
      <c r="J313" s="879"/>
      <c r="K313" s="278"/>
      <c r="L313" s="301">
        <v>11</v>
      </c>
      <c r="M313" s="381" t="s">
        <v>1107</v>
      </c>
      <c r="N313" s="379"/>
      <c r="O313" s="399"/>
      <c r="P313" s="437"/>
      <c r="Q313" s="485"/>
      <c r="R313" s="1003"/>
      <c r="S313" s="646"/>
      <c r="T313" s="551" t="str">
        <f t="shared" si="36"/>
        <v/>
      </c>
      <c r="U313" s="535">
        <f t="shared" si="41"/>
        <v>0</v>
      </c>
      <c r="V313" s="894"/>
      <c r="W313" s="608"/>
      <c r="X313" s="888"/>
      <c r="Y313" s="507"/>
      <c r="Z313" s="879"/>
    </row>
    <row r="314" spans="1:26" ht="15" customHeight="1">
      <c r="B314" s="301">
        <v>11</v>
      </c>
      <c r="C314" s="379"/>
      <c r="D314" s="379"/>
      <c r="E314" s="399"/>
      <c r="F314" s="437"/>
      <c r="G314" s="378"/>
      <c r="H314" s="694"/>
      <c r="I314" s="879"/>
      <c r="J314" s="879"/>
      <c r="K314" s="278"/>
      <c r="L314" s="301">
        <v>11</v>
      </c>
      <c r="M314" s="381" t="s">
        <v>1107</v>
      </c>
      <c r="N314" s="379"/>
      <c r="O314" s="399"/>
      <c r="P314" s="437"/>
      <c r="Q314" s="485"/>
      <c r="R314" s="1003"/>
      <c r="S314" s="646"/>
      <c r="T314" s="551" t="str">
        <f t="shared" si="36"/>
        <v/>
      </c>
      <c r="U314" s="535">
        <f t="shared" si="41"/>
        <v>0</v>
      </c>
      <c r="V314" s="894"/>
      <c r="W314" s="608"/>
      <c r="X314" s="888"/>
      <c r="Y314" s="507"/>
      <c r="Z314" s="879"/>
    </row>
    <row r="315" spans="1:26" ht="15" customHeight="1" thickBot="1">
      <c r="B315" s="306">
        <v>11</v>
      </c>
      <c r="C315" s="307"/>
      <c r="D315" s="307"/>
      <c r="E315" s="308"/>
      <c r="F315" s="453"/>
      <c r="G315" s="320"/>
      <c r="H315" s="695"/>
      <c r="I315" s="880"/>
      <c r="J315" s="880"/>
      <c r="K315" s="279"/>
      <c r="L315" s="306">
        <v>11</v>
      </c>
      <c r="M315" s="412" t="s">
        <v>1107</v>
      </c>
      <c r="N315" s="307"/>
      <c r="O315" s="308"/>
      <c r="P315" s="453"/>
      <c r="Q315" s="476"/>
      <c r="R315" s="1011"/>
      <c r="S315" s="647"/>
      <c r="T315" s="552" t="str">
        <f t="shared" si="36"/>
        <v/>
      </c>
      <c r="U315" s="536">
        <f t="shared" si="41"/>
        <v>0</v>
      </c>
      <c r="V315" s="895"/>
      <c r="W315" s="609"/>
      <c r="X315" s="889"/>
      <c r="Y315" s="470"/>
      <c r="Z315" s="880"/>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1010"/>
      <c r="S316" s="652"/>
      <c r="T316" s="553" t="str">
        <f t="shared" si="36"/>
        <v/>
      </c>
      <c r="U316" s="541"/>
      <c r="V316" s="521"/>
      <c r="W316" s="610"/>
      <c r="X316" s="340"/>
      <c r="Y316" s="508"/>
      <c r="Z316" s="270"/>
    </row>
    <row r="317" spans="1:26">
      <c r="B317" s="259">
        <v>12</v>
      </c>
      <c r="C317" s="260" t="s">
        <v>1138</v>
      </c>
      <c r="D317" s="260"/>
      <c r="E317" s="261"/>
      <c r="F317" s="463"/>
      <c r="G317" s="328"/>
      <c r="H317" s="709"/>
      <c r="I317" s="884">
        <v>0</v>
      </c>
      <c r="J317" s="884">
        <v>0</v>
      </c>
      <c r="K317" s="899"/>
      <c r="L317" s="259">
        <v>12</v>
      </c>
      <c r="M317" s="260" t="s">
        <v>1139</v>
      </c>
      <c r="N317" s="260"/>
      <c r="O317" s="261"/>
      <c r="P317" s="463"/>
      <c r="Q317" s="486"/>
      <c r="R317" s="1018"/>
      <c r="S317" s="658"/>
      <c r="T317" s="562" t="str">
        <f t="shared" si="36"/>
        <v/>
      </c>
      <c r="U317" s="546"/>
      <c r="V317" s="520"/>
      <c r="W317" s="618"/>
      <c r="X317" s="890">
        <f>SUM(Q317:Q318)</f>
        <v>0</v>
      </c>
      <c r="Y317" s="468"/>
      <c r="Z317" s="884">
        <f>SUM(X317:X318)</f>
        <v>0</v>
      </c>
    </row>
    <row r="318" spans="1:26" ht="15" customHeight="1" thickBot="1">
      <c r="B318" s="263">
        <v>12</v>
      </c>
      <c r="C318" s="334" t="s">
        <v>1138</v>
      </c>
      <c r="D318" s="334"/>
      <c r="E318" s="335"/>
      <c r="F318" s="465"/>
      <c r="G318" s="264"/>
      <c r="H318" s="712"/>
      <c r="I318" s="886"/>
      <c r="J318" s="886"/>
      <c r="K318" s="900"/>
      <c r="L318" s="263">
        <v>12</v>
      </c>
      <c r="M318" s="334" t="s">
        <v>1139</v>
      </c>
      <c r="N318" s="334"/>
      <c r="O318" s="335"/>
      <c r="P318" s="465"/>
      <c r="Q318" s="488"/>
      <c r="R318" s="1021"/>
      <c r="S318" s="661"/>
      <c r="T318" s="565" t="str">
        <f t="shared" si="36"/>
        <v/>
      </c>
      <c r="U318" s="549"/>
      <c r="V318" s="519"/>
      <c r="W318" s="621"/>
      <c r="X318" s="892"/>
      <c r="Y318" s="469"/>
      <c r="Z318" s="886"/>
    </row>
    <row r="319" spans="1:26" ht="14.5" thickBot="1">
      <c r="A319" s="24"/>
      <c r="B319" s="280"/>
      <c r="C319" s="267"/>
      <c r="D319" s="267"/>
      <c r="E319" s="281"/>
      <c r="F319" s="449"/>
      <c r="G319" s="282"/>
      <c r="H319" s="700"/>
      <c r="I319" s="316"/>
      <c r="J319" s="316"/>
      <c r="K319" s="24"/>
      <c r="L319" s="280"/>
      <c r="M319" s="267"/>
      <c r="N319" s="267"/>
      <c r="O319" s="281"/>
      <c r="P319" s="449"/>
      <c r="Q319" s="479"/>
      <c r="R319" s="1010"/>
      <c r="S319" s="652"/>
      <c r="T319" s="553" t="str">
        <f t="shared" si="36"/>
        <v/>
      </c>
      <c r="U319" s="541"/>
      <c r="V319" s="521"/>
      <c r="W319" s="610"/>
      <c r="X319" s="497"/>
      <c r="Y319" s="508"/>
      <c r="Z319" s="316"/>
    </row>
    <row r="320" spans="1:26" ht="15.75" customHeight="1">
      <c r="B320" s="271">
        <v>13</v>
      </c>
      <c r="C320" s="272" t="s">
        <v>1140</v>
      </c>
      <c r="D320" s="341" t="s">
        <v>1141</v>
      </c>
      <c r="E320" s="273">
        <v>1</v>
      </c>
      <c r="F320" s="430">
        <v>923726.21398921439</v>
      </c>
      <c r="G320" s="274">
        <f>E320*F320</f>
        <v>923726.21398921439</v>
      </c>
      <c r="H320" s="701">
        <v>45991</v>
      </c>
      <c r="I320" s="878">
        <f>SUM(G320:G333)</f>
        <v>4531726.213989215</v>
      </c>
      <c r="J320" s="878">
        <v>4720548.1395720998</v>
      </c>
      <c r="K320" s="275"/>
      <c r="L320" s="271">
        <v>13</v>
      </c>
      <c r="M320" s="341" t="s">
        <v>1142</v>
      </c>
      <c r="N320" s="341" t="s">
        <v>1141</v>
      </c>
      <c r="O320" s="273">
        <v>1</v>
      </c>
      <c r="P320" s="430">
        <v>923726.21398921439</v>
      </c>
      <c r="Q320" s="480">
        <f>O320*P320</f>
        <v>923726.21398921439</v>
      </c>
      <c r="R320" s="873"/>
      <c r="S320" s="653"/>
      <c r="T320" s="557">
        <f t="shared" si="36"/>
        <v>46203</v>
      </c>
      <c r="U320" s="542">
        <f t="shared" ref="U320:U334" si="43">(Q320/$X$320*$J$320)</f>
        <v>962214.80623876525</v>
      </c>
      <c r="V320" s="893">
        <f>J320-SUM(U320:U334)</f>
        <v>0</v>
      </c>
      <c r="W320" s="614">
        <v>46203</v>
      </c>
      <c r="X320" s="887">
        <f>SUM(Q320:Q334)</f>
        <v>4531726.213989215</v>
      </c>
      <c r="Y320" s="511"/>
      <c r="Z320" s="878">
        <f>I320-X320</f>
        <v>0</v>
      </c>
    </row>
    <row r="321" spans="1:26" ht="15.75" customHeight="1">
      <c r="B321" s="301">
        <v>13</v>
      </c>
      <c r="C321" s="303"/>
      <c r="D321" s="303" t="s">
        <v>1143</v>
      </c>
      <c r="E321" s="304">
        <v>200</v>
      </c>
      <c r="F321" s="452">
        <v>4000</v>
      </c>
      <c r="G321" s="305">
        <f>E321*F321</f>
        <v>800000</v>
      </c>
      <c r="H321" s="693">
        <v>45991</v>
      </c>
      <c r="I321" s="879"/>
      <c r="J321" s="879"/>
      <c r="K321" s="278"/>
      <c r="L321" s="301">
        <v>13</v>
      </c>
      <c r="M321" s="381" t="s">
        <v>1142</v>
      </c>
      <c r="N321" s="303" t="s">
        <v>1143</v>
      </c>
      <c r="O321" s="304"/>
      <c r="P321" s="452"/>
      <c r="Q321" s="475">
        <f>3608000-SUM(Q323:Q334)</f>
        <v>2668000</v>
      </c>
      <c r="R321" s="1004"/>
      <c r="S321" s="645"/>
      <c r="T321" s="550">
        <v>46265</v>
      </c>
      <c r="U321" s="534">
        <f t="shared" si="43"/>
        <v>2779166.6666666674</v>
      </c>
      <c r="V321" s="894"/>
      <c r="W321" s="607">
        <v>46265</v>
      </c>
      <c r="X321" s="888"/>
      <c r="Y321" s="507"/>
      <c r="Z321" s="879"/>
    </row>
    <row r="322" spans="1:26" ht="15.75" customHeight="1">
      <c r="B322" s="301"/>
      <c r="C322" s="303"/>
      <c r="D322" s="303"/>
      <c r="E322" s="304"/>
      <c r="F322" s="452"/>
      <c r="G322" s="305"/>
      <c r="H322" s="693"/>
      <c r="I322" s="879"/>
      <c r="J322" s="879"/>
      <c r="K322" s="278"/>
      <c r="L322" s="301">
        <v>13</v>
      </c>
      <c r="M322" s="381" t="s">
        <v>1142</v>
      </c>
      <c r="N322" s="303"/>
      <c r="O322" s="304"/>
      <c r="P322" s="452"/>
      <c r="Q322" s="475"/>
      <c r="R322" s="1004"/>
      <c r="S322" s="645"/>
      <c r="T322" s="550"/>
      <c r="U322" s="534">
        <f t="shared" si="43"/>
        <v>0</v>
      </c>
      <c r="V322" s="894"/>
      <c r="W322" s="607"/>
      <c r="X322" s="888"/>
      <c r="Y322" s="507"/>
      <c r="Z322" s="879"/>
    </row>
    <row r="323" spans="1:26" ht="15.75" customHeight="1">
      <c r="B323" s="301"/>
      <c r="C323" s="303"/>
      <c r="D323" s="303"/>
      <c r="E323" s="304"/>
      <c r="F323" s="452"/>
      <c r="G323" s="305"/>
      <c r="H323" s="693"/>
      <c r="I323" s="879"/>
      <c r="J323" s="879"/>
      <c r="K323" s="278"/>
      <c r="L323" s="301">
        <v>13</v>
      </c>
      <c r="M323" s="381" t="s">
        <v>1142</v>
      </c>
      <c r="N323" s="303" t="s">
        <v>1144</v>
      </c>
      <c r="O323" s="304"/>
      <c r="P323" s="452"/>
      <c r="Q323" s="475">
        <v>45000</v>
      </c>
      <c r="R323" s="1004"/>
      <c r="S323" s="645"/>
      <c r="T323" s="550">
        <v>46142</v>
      </c>
      <c r="U323" s="534">
        <f t="shared" si="43"/>
        <v>46875.000000000007</v>
      </c>
      <c r="V323" s="894"/>
      <c r="W323" s="607">
        <f>T323+7</f>
        <v>46149</v>
      </c>
      <c r="X323" s="888"/>
      <c r="Y323" s="507"/>
      <c r="Z323" s="879"/>
    </row>
    <row r="324" spans="1:26" ht="15.75" customHeight="1">
      <c r="B324" s="301"/>
      <c r="C324" s="303"/>
      <c r="D324" s="303"/>
      <c r="E324" s="304"/>
      <c r="F324" s="452"/>
      <c r="G324" s="305"/>
      <c r="H324" s="693"/>
      <c r="I324" s="879"/>
      <c r="J324" s="879"/>
      <c r="K324" s="278"/>
      <c r="L324" s="301">
        <v>13</v>
      </c>
      <c r="M324" s="381" t="s">
        <v>1142</v>
      </c>
      <c r="N324" s="303" t="s">
        <v>1145</v>
      </c>
      <c r="O324" s="304"/>
      <c r="P324" s="452"/>
      <c r="Q324" s="475">
        <v>45000</v>
      </c>
      <c r="R324" s="1004"/>
      <c r="S324" s="645"/>
      <c r="T324" s="550">
        <v>46173</v>
      </c>
      <c r="U324" s="534">
        <f t="shared" si="43"/>
        <v>46875.000000000007</v>
      </c>
      <c r="V324" s="894"/>
      <c r="W324" s="607">
        <f>T324+7</f>
        <v>46180</v>
      </c>
      <c r="X324" s="888"/>
      <c r="Y324" s="507"/>
      <c r="Z324" s="879"/>
    </row>
    <row r="325" spans="1:26" ht="15.75" customHeight="1">
      <c r="B325" s="301"/>
      <c r="C325" s="303"/>
      <c r="D325" s="303"/>
      <c r="E325" s="304"/>
      <c r="F325" s="452"/>
      <c r="G325" s="305"/>
      <c r="H325" s="693"/>
      <c r="I325" s="879"/>
      <c r="J325" s="879"/>
      <c r="K325" s="278"/>
      <c r="L325" s="301">
        <v>13</v>
      </c>
      <c r="M325" s="381" t="s">
        <v>1142</v>
      </c>
      <c r="N325" s="303" t="s">
        <v>1146</v>
      </c>
      <c r="O325" s="304"/>
      <c r="P325" s="452"/>
      <c r="Q325" s="475">
        <f>45000</f>
        <v>45000</v>
      </c>
      <c r="R325" s="1004"/>
      <c r="S325" s="645"/>
      <c r="T325" s="550">
        <v>46203</v>
      </c>
      <c r="U325" s="534">
        <f t="shared" si="43"/>
        <v>46875.000000000007</v>
      </c>
      <c r="V325" s="894"/>
      <c r="W325" s="607">
        <f t="shared" ref="W325:W332" si="44">T325+7</f>
        <v>46210</v>
      </c>
      <c r="X325" s="888"/>
      <c r="Y325" s="507"/>
      <c r="Z325" s="879"/>
    </row>
    <row r="326" spans="1:26" ht="15.75" customHeight="1">
      <c r="B326" s="301"/>
      <c r="C326" s="303"/>
      <c r="D326" s="303"/>
      <c r="E326" s="304"/>
      <c r="F326" s="452"/>
      <c r="G326" s="305"/>
      <c r="H326" s="693"/>
      <c r="I326" s="879"/>
      <c r="J326" s="879"/>
      <c r="K326" s="278"/>
      <c r="L326" s="301">
        <v>13</v>
      </c>
      <c r="M326" s="381" t="s">
        <v>1142</v>
      </c>
      <c r="N326" s="303" t="s">
        <v>1147</v>
      </c>
      <c r="O326" s="304"/>
      <c r="P326" s="452"/>
      <c r="Q326" s="475">
        <f t="shared" ref="Q326:Q332" si="45">45000+70000</f>
        <v>115000</v>
      </c>
      <c r="R326" s="1004"/>
      <c r="S326" s="645"/>
      <c r="T326" s="550">
        <v>46234</v>
      </c>
      <c r="U326" s="534">
        <f t="shared" si="43"/>
        <v>119791.66666666669</v>
      </c>
      <c r="V326" s="894"/>
      <c r="W326" s="607">
        <f t="shared" si="44"/>
        <v>46241</v>
      </c>
      <c r="X326" s="888"/>
      <c r="Y326" s="507"/>
      <c r="Z326" s="879"/>
    </row>
    <row r="327" spans="1:26" ht="15.75" customHeight="1">
      <c r="B327" s="301"/>
      <c r="C327" s="303"/>
      <c r="D327" s="303"/>
      <c r="E327" s="304"/>
      <c r="F327" s="452"/>
      <c r="G327" s="305"/>
      <c r="H327" s="693"/>
      <c r="I327" s="879"/>
      <c r="J327" s="879"/>
      <c r="K327" s="278"/>
      <c r="L327" s="301">
        <v>13</v>
      </c>
      <c r="M327" s="381" t="s">
        <v>1142</v>
      </c>
      <c r="N327" s="303" t="s">
        <v>1148</v>
      </c>
      <c r="O327" s="304"/>
      <c r="P327" s="452"/>
      <c r="Q327" s="475">
        <f t="shared" si="45"/>
        <v>115000</v>
      </c>
      <c r="R327" s="1004"/>
      <c r="S327" s="645"/>
      <c r="T327" s="550">
        <v>46265</v>
      </c>
      <c r="U327" s="534">
        <f t="shared" si="43"/>
        <v>119791.66666666669</v>
      </c>
      <c r="V327" s="894"/>
      <c r="W327" s="607">
        <f t="shared" si="44"/>
        <v>46272</v>
      </c>
      <c r="X327" s="888"/>
      <c r="Y327" s="507"/>
      <c r="Z327" s="879"/>
    </row>
    <row r="328" spans="1:26" ht="15.75" customHeight="1">
      <c r="B328" s="301"/>
      <c r="C328" s="303"/>
      <c r="D328" s="303"/>
      <c r="E328" s="304"/>
      <c r="F328" s="452"/>
      <c r="G328" s="305"/>
      <c r="H328" s="693"/>
      <c r="I328" s="879"/>
      <c r="J328" s="879"/>
      <c r="K328" s="278"/>
      <c r="L328" s="301">
        <v>13</v>
      </c>
      <c r="M328" s="381" t="s">
        <v>1142</v>
      </c>
      <c r="N328" s="303" t="s">
        <v>1149</v>
      </c>
      <c r="O328" s="304"/>
      <c r="P328" s="452"/>
      <c r="Q328" s="475">
        <f t="shared" si="45"/>
        <v>115000</v>
      </c>
      <c r="R328" s="1004"/>
      <c r="S328" s="645"/>
      <c r="T328" s="550">
        <v>46265</v>
      </c>
      <c r="U328" s="534">
        <f t="shared" si="43"/>
        <v>119791.66666666669</v>
      </c>
      <c r="V328" s="894"/>
      <c r="W328" s="607">
        <f t="shared" si="44"/>
        <v>46272</v>
      </c>
      <c r="X328" s="888"/>
      <c r="Y328" s="507"/>
      <c r="Z328" s="879"/>
    </row>
    <row r="329" spans="1:26" ht="15.75" customHeight="1">
      <c r="B329" s="301"/>
      <c r="C329" s="303"/>
      <c r="D329" s="303"/>
      <c r="E329" s="304"/>
      <c r="F329" s="452"/>
      <c r="G329" s="305"/>
      <c r="H329" s="693"/>
      <c r="I329" s="879"/>
      <c r="J329" s="879"/>
      <c r="K329" s="278"/>
      <c r="L329" s="301">
        <v>13</v>
      </c>
      <c r="M329" s="381" t="s">
        <v>1142</v>
      </c>
      <c r="N329" s="303" t="s">
        <v>1150</v>
      </c>
      <c r="O329" s="304"/>
      <c r="P329" s="452"/>
      <c r="Q329" s="475">
        <f t="shared" si="45"/>
        <v>115000</v>
      </c>
      <c r="R329" s="1004"/>
      <c r="S329" s="645"/>
      <c r="T329" s="550">
        <v>46265</v>
      </c>
      <c r="U329" s="534">
        <f t="shared" si="43"/>
        <v>119791.66666666669</v>
      </c>
      <c r="V329" s="894"/>
      <c r="W329" s="607">
        <f t="shared" si="44"/>
        <v>46272</v>
      </c>
      <c r="X329" s="888"/>
      <c r="Y329" s="507"/>
      <c r="Z329" s="879"/>
    </row>
    <row r="330" spans="1:26" ht="15.75" customHeight="1">
      <c r="B330" s="301"/>
      <c r="C330" s="303"/>
      <c r="D330" s="303"/>
      <c r="E330" s="304"/>
      <c r="F330" s="452"/>
      <c r="G330" s="305"/>
      <c r="H330" s="693"/>
      <c r="I330" s="879"/>
      <c r="J330" s="879"/>
      <c r="K330" s="278"/>
      <c r="L330" s="301">
        <v>13</v>
      </c>
      <c r="M330" s="381" t="s">
        <v>1142</v>
      </c>
      <c r="N330" s="303" t="s">
        <v>1151</v>
      </c>
      <c r="O330" s="304"/>
      <c r="P330" s="452"/>
      <c r="Q330" s="475">
        <f t="shared" si="45"/>
        <v>115000</v>
      </c>
      <c r="R330" s="1004"/>
      <c r="S330" s="645"/>
      <c r="T330" s="550">
        <v>46265</v>
      </c>
      <c r="U330" s="534">
        <f t="shared" si="43"/>
        <v>119791.66666666669</v>
      </c>
      <c r="V330" s="894"/>
      <c r="W330" s="607">
        <f t="shared" si="44"/>
        <v>46272</v>
      </c>
      <c r="X330" s="888"/>
      <c r="Y330" s="507"/>
      <c r="Z330" s="879"/>
    </row>
    <row r="331" spans="1:26" ht="15.75" customHeight="1">
      <c r="B331" s="301"/>
      <c r="C331" s="303"/>
      <c r="D331" s="303" t="s">
        <v>1152</v>
      </c>
      <c r="E331" s="304">
        <v>200</v>
      </c>
      <c r="F331" s="452">
        <v>6800</v>
      </c>
      <c r="G331" s="305">
        <f>E331*F331</f>
        <v>1360000</v>
      </c>
      <c r="H331" s="693">
        <f>H332</f>
        <v>45991</v>
      </c>
      <c r="I331" s="879"/>
      <c r="J331" s="879"/>
      <c r="K331" s="278"/>
      <c r="L331" s="301">
        <v>13</v>
      </c>
      <c r="M331" s="381" t="s">
        <v>1142</v>
      </c>
      <c r="N331" s="303" t="s">
        <v>1153</v>
      </c>
      <c r="O331" s="304"/>
      <c r="P331" s="452"/>
      <c r="Q331" s="475">
        <f t="shared" si="45"/>
        <v>115000</v>
      </c>
      <c r="R331" s="1004"/>
      <c r="S331" s="645"/>
      <c r="T331" s="550">
        <v>46265</v>
      </c>
      <c r="U331" s="534">
        <f t="shared" si="43"/>
        <v>119791.66666666669</v>
      </c>
      <c r="V331" s="894"/>
      <c r="W331" s="607">
        <f t="shared" si="44"/>
        <v>46272</v>
      </c>
      <c r="X331" s="888"/>
      <c r="Y331" s="507"/>
      <c r="Z331" s="879"/>
    </row>
    <row r="332" spans="1:26" ht="15.75" customHeight="1">
      <c r="B332" s="301">
        <v>13</v>
      </c>
      <c r="C332" s="303"/>
      <c r="D332" s="303" t="s">
        <v>1154</v>
      </c>
      <c r="E332" s="304">
        <v>200</v>
      </c>
      <c r="F332" s="452">
        <v>5200</v>
      </c>
      <c r="G332" s="305">
        <f t="shared" ref="G332:G333" si="46">E332*F332</f>
        <v>1040000</v>
      </c>
      <c r="H332" s="693">
        <v>45991</v>
      </c>
      <c r="I332" s="879"/>
      <c r="J332" s="879"/>
      <c r="K332" s="278"/>
      <c r="L332" s="301">
        <v>13</v>
      </c>
      <c r="M332" s="381" t="s">
        <v>1142</v>
      </c>
      <c r="N332" s="303" t="s">
        <v>1155</v>
      </c>
      <c r="O332" s="304"/>
      <c r="P332" s="452"/>
      <c r="Q332" s="475">
        <f t="shared" si="45"/>
        <v>115000</v>
      </c>
      <c r="R332" s="1004"/>
      <c r="S332" s="645"/>
      <c r="T332" s="550">
        <v>46295</v>
      </c>
      <c r="U332" s="534">
        <f t="shared" si="43"/>
        <v>119791.66666666669</v>
      </c>
      <c r="V332" s="894"/>
      <c r="W332" s="607">
        <f t="shared" si="44"/>
        <v>46302</v>
      </c>
      <c r="X332" s="888"/>
      <c r="Y332" s="507"/>
      <c r="Z332" s="879"/>
    </row>
    <row r="333" spans="1:26" ht="15.75" customHeight="1">
      <c r="B333" s="301">
        <v>13</v>
      </c>
      <c r="C333" s="303"/>
      <c r="D333" s="303" t="s">
        <v>1156</v>
      </c>
      <c r="E333" s="304">
        <v>60</v>
      </c>
      <c r="F333" s="452">
        <v>6800</v>
      </c>
      <c r="G333" s="305">
        <f t="shared" si="46"/>
        <v>408000</v>
      </c>
      <c r="H333" s="693">
        <v>45991</v>
      </c>
      <c r="I333" s="879"/>
      <c r="J333" s="879"/>
      <c r="K333" s="278"/>
      <c r="L333" s="301">
        <v>13</v>
      </c>
      <c r="M333" s="381" t="s">
        <v>1142</v>
      </c>
      <c r="N333" s="303"/>
      <c r="O333" s="304"/>
      <c r="P333" s="452"/>
      <c r="Q333" s="475"/>
      <c r="R333" s="1004"/>
      <c r="S333" s="645"/>
      <c r="T333" s="550"/>
      <c r="U333" s="534">
        <f t="shared" si="43"/>
        <v>0</v>
      </c>
      <c r="V333" s="894"/>
      <c r="W333" s="607"/>
      <c r="X333" s="888"/>
      <c r="Y333" s="507"/>
      <c r="Z333" s="879"/>
    </row>
    <row r="334" spans="1:26" ht="15.75" customHeight="1" thickBot="1">
      <c r="B334" s="306">
        <v>13</v>
      </c>
      <c r="C334" s="307"/>
      <c r="D334" s="307"/>
      <c r="E334" s="308"/>
      <c r="F334" s="453"/>
      <c r="G334" s="320"/>
      <c r="H334" s="695"/>
      <c r="I334" s="880"/>
      <c r="J334" s="880"/>
      <c r="K334" s="354"/>
      <c r="L334" s="306">
        <v>13</v>
      </c>
      <c r="M334" s="412" t="s">
        <v>1142</v>
      </c>
      <c r="N334" s="307"/>
      <c r="O334" s="308"/>
      <c r="P334" s="453"/>
      <c r="Q334" s="476"/>
      <c r="R334" s="1011"/>
      <c r="S334" s="647"/>
      <c r="T334" s="552" t="str">
        <f t="shared" si="36"/>
        <v/>
      </c>
      <c r="U334" s="536">
        <f t="shared" si="43"/>
        <v>0</v>
      </c>
      <c r="V334" s="895"/>
      <c r="W334" s="609"/>
      <c r="X334" s="889"/>
      <c r="Y334" s="470"/>
      <c r="Z334" s="880"/>
    </row>
    <row r="335" spans="1:26" ht="14.5" thickBot="1">
      <c r="A335" s="24"/>
      <c r="B335" s="280"/>
      <c r="C335" s="267"/>
      <c r="D335" s="267"/>
      <c r="E335" s="281"/>
      <c r="F335" s="449"/>
      <c r="G335" s="282"/>
      <c r="H335" s="700"/>
      <c r="I335" s="270"/>
      <c r="J335" s="270"/>
      <c r="K335" s="24"/>
      <c r="L335" s="280"/>
      <c r="M335" s="267"/>
      <c r="N335" s="267"/>
      <c r="O335" s="281"/>
      <c r="P335" s="449"/>
      <c r="Q335" s="479"/>
      <c r="R335" s="1010"/>
      <c r="S335" s="652"/>
      <c r="T335" s="553" t="str">
        <f t="shared" si="36"/>
        <v/>
      </c>
      <c r="U335" s="541"/>
      <c r="V335" s="521"/>
      <c r="W335" s="610"/>
      <c r="X335" s="497"/>
      <c r="Y335" s="508"/>
      <c r="Z335" s="316"/>
    </row>
    <row r="336" spans="1:26" ht="14.25" customHeight="1">
      <c r="B336" s="259">
        <v>14</v>
      </c>
      <c r="C336" s="260" t="s">
        <v>1157</v>
      </c>
      <c r="D336" s="260" t="s">
        <v>1158</v>
      </c>
      <c r="E336" s="261"/>
      <c r="F336" s="463"/>
      <c r="G336" s="328">
        <v>236075</v>
      </c>
      <c r="H336" s="709">
        <v>45907</v>
      </c>
      <c r="I336" s="884">
        <f>SUM(G336:G371)</f>
        <v>236075</v>
      </c>
      <c r="J336" s="884">
        <v>245911.45833333299</v>
      </c>
      <c r="K336" s="329"/>
      <c r="L336" s="259">
        <v>14</v>
      </c>
      <c r="M336" s="427" t="s">
        <v>1159</v>
      </c>
      <c r="N336" s="260" t="s">
        <v>1160</v>
      </c>
      <c r="O336" s="261"/>
      <c r="P336" s="463"/>
      <c r="Q336" s="486">
        <v>25000</v>
      </c>
      <c r="R336" s="1018"/>
      <c r="S336" s="658"/>
      <c r="T336" s="564">
        <v>46081</v>
      </c>
      <c r="U336" s="546">
        <f t="shared" ref="U336:U371" si="47">(Q336/$X$336*$J$336)</f>
        <v>13428.978720693151</v>
      </c>
      <c r="V336" s="896"/>
      <c r="W336" s="618">
        <f>T336+7</f>
        <v>46088</v>
      </c>
      <c r="X336" s="890">
        <f>SUM(Q336:Q371)</f>
        <v>457800</v>
      </c>
      <c r="Y336" s="513"/>
      <c r="Z336" s="884">
        <f>I336-X336</f>
        <v>-221725</v>
      </c>
    </row>
    <row r="337" spans="2:26" ht="14.25" customHeight="1">
      <c r="B337" s="622"/>
      <c r="C337" s="623"/>
      <c r="D337" s="623"/>
      <c r="E337" s="624"/>
      <c r="F337" s="625"/>
      <c r="G337" s="626"/>
      <c r="H337" s="711"/>
      <c r="I337" s="885"/>
      <c r="J337" s="885"/>
      <c r="K337" s="262"/>
      <c r="L337" s="330">
        <v>14</v>
      </c>
      <c r="M337" s="428" t="s">
        <v>1159</v>
      </c>
      <c r="N337" s="331" t="s">
        <v>1161</v>
      </c>
      <c r="O337" s="332"/>
      <c r="P337" s="464"/>
      <c r="Q337" s="487">
        <v>25000</v>
      </c>
      <c r="R337" s="1020"/>
      <c r="S337" s="660"/>
      <c r="T337" s="564">
        <v>46112</v>
      </c>
      <c r="U337" s="548">
        <f t="shared" si="47"/>
        <v>13428.978720693151</v>
      </c>
      <c r="V337" s="897"/>
      <c r="W337" s="627">
        <f>T337+7</f>
        <v>46119</v>
      </c>
      <c r="X337" s="891"/>
      <c r="Y337" s="514"/>
      <c r="Z337" s="885"/>
    </row>
    <row r="338" spans="2:26" ht="14.25" customHeight="1">
      <c r="B338" s="622"/>
      <c r="C338" s="623"/>
      <c r="D338" s="623"/>
      <c r="E338" s="624"/>
      <c r="F338" s="625"/>
      <c r="G338" s="626"/>
      <c r="H338" s="711"/>
      <c r="I338" s="885"/>
      <c r="J338" s="885"/>
      <c r="K338" s="262"/>
      <c r="L338" s="330">
        <v>14</v>
      </c>
      <c r="M338" s="428" t="s">
        <v>1159</v>
      </c>
      <c r="N338" s="331" t="s">
        <v>1162</v>
      </c>
      <c r="O338" s="332"/>
      <c r="P338" s="464"/>
      <c r="Q338" s="487">
        <v>25000</v>
      </c>
      <c r="R338" s="1020"/>
      <c r="S338" s="660"/>
      <c r="T338" s="564">
        <v>46142</v>
      </c>
      <c r="U338" s="548">
        <f t="shared" si="47"/>
        <v>13428.978720693151</v>
      </c>
      <c r="V338" s="897"/>
      <c r="W338" s="620">
        <f t="shared" ref="W338:W342" si="48">T338+7</f>
        <v>46149</v>
      </c>
      <c r="X338" s="891"/>
      <c r="Y338" s="514"/>
      <c r="Z338" s="885"/>
    </row>
    <row r="339" spans="2:26" ht="14.25" customHeight="1">
      <c r="B339" s="622"/>
      <c r="C339" s="623"/>
      <c r="D339" s="623"/>
      <c r="E339" s="624"/>
      <c r="F339" s="625"/>
      <c r="G339" s="626"/>
      <c r="H339" s="711"/>
      <c r="I339" s="885"/>
      <c r="J339" s="885"/>
      <c r="K339" s="262"/>
      <c r="L339" s="330">
        <v>14</v>
      </c>
      <c r="M339" s="428" t="s">
        <v>1159</v>
      </c>
      <c r="N339" s="331" t="s">
        <v>1163</v>
      </c>
      <c r="O339" s="332"/>
      <c r="P339" s="464"/>
      <c r="Q339" s="487">
        <v>25000</v>
      </c>
      <c r="R339" s="1020"/>
      <c r="S339" s="660"/>
      <c r="T339" s="564">
        <v>46173</v>
      </c>
      <c r="U339" s="548">
        <f t="shared" si="47"/>
        <v>13428.978720693151</v>
      </c>
      <c r="V339" s="897"/>
      <c r="W339" s="620">
        <f t="shared" si="48"/>
        <v>46180</v>
      </c>
      <c r="X339" s="891"/>
      <c r="Y339" s="514"/>
      <c r="Z339" s="885"/>
    </row>
    <row r="340" spans="2:26" ht="14.25" customHeight="1">
      <c r="B340" s="622"/>
      <c r="C340" s="623"/>
      <c r="D340" s="623"/>
      <c r="E340" s="624"/>
      <c r="F340" s="625"/>
      <c r="G340" s="626"/>
      <c r="H340" s="711"/>
      <c r="I340" s="885"/>
      <c r="J340" s="885"/>
      <c r="K340" s="262"/>
      <c r="L340" s="330">
        <v>14</v>
      </c>
      <c r="M340" s="428" t="s">
        <v>1159</v>
      </c>
      <c r="N340" s="331" t="s">
        <v>1164</v>
      </c>
      <c r="O340" s="332"/>
      <c r="P340" s="464"/>
      <c r="Q340" s="487">
        <v>25000</v>
      </c>
      <c r="R340" s="1020"/>
      <c r="S340" s="660"/>
      <c r="T340" s="564">
        <v>46203</v>
      </c>
      <c r="U340" s="548">
        <f t="shared" si="47"/>
        <v>13428.978720693151</v>
      </c>
      <c r="V340" s="897"/>
      <c r="W340" s="620">
        <f t="shared" si="48"/>
        <v>46210</v>
      </c>
      <c r="X340" s="891"/>
      <c r="Y340" s="514"/>
      <c r="Z340" s="885"/>
    </row>
    <row r="341" spans="2:26" ht="14.25" customHeight="1">
      <c r="B341" s="622"/>
      <c r="C341" s="623"/>
      <c r="D341" s="623"/>
      <c r="E341" s="624"/>
      <c r="F341" s="625"/>
      <c r="G341" s="626"/>
      <c r="H341" s="711"/>
      <c r="I341" s="885"/>
      <c r="J341" s="885"/>
      <c r="K341" s="262"/>
      <c r="L341" s="330">
        <v>14</v>
      </c>
      <c r="M341" s="428" t="s">
        <v>1159</v>
      </c>
      <c r="N341" s="331" t="s">
        <v>1165</v>
      </c>
      <c r="O341" s="332"/>
      <c r="P341" s="464"/>
      <c r="Q341" s="487">
        <v>25000</v>
      </c>
      <c r="R341" s="1020"/>
      <c r="S341" s="660"/>
      <c r="T341" s="564">
        <v>46234</v>
      </c>
      <c r="U341" s="548">
        <f t="shared" si="47"/>
        <v>13428.978720693151</v>
      </c>
      <c r="V341" s="897"/>
      <c r="W341" s="620">
        <f t="shared" si="48"/>
        <v>46241</v>
      </c>
      <c r="X341" s="891"/>
      <c r="Y341" s="514"/>
      <c r="Z341" s="885"/>
    </row>
    <row r="342" spans="2:26" ht="14.15" customHeight="1">
      <c r="B342" s="622"/>
      <c r="C342" s="623"/>
      <c r="D342" s="623"/>
      <c r="E342" s="624"/>
      <c r="F342" s="625"/>
      <c r="G342" s="626"/>
      <c r="H342" s="711"/>
      <c r="I342" s="885"/>
      <c r="J342" s="885"/>
      <c r="K342" s="262"/>
      <c r="L342" s="330">
        <v>14</v>
      </c>
      <c r="M342" s="428" t="s">
        <v>1159</v>
      </c>
      <c r="N342" s="331" t="s">
        <v>1166</v>
      </c>
      <c r="O342" s="332"/>
      <c r="P342" s="464"/>
      <c r="Q342" s="487">
        <v>25000</v>
      </c>
      <c r="R342" s="1020"/>
      <c r="S342" s="660"/>
      <c r="T342" s="564">
        <v>46265</v>
      </c>
      <c r="U342" s="548">
        <f t="shared" si="47"/>
        <v>13428.978720693151</v>
      </c>
      <c r="V342" s="897"/>
      <c r="W342" s="620">
        <f t="shared" si="48"/>
        <v>46272</v>
      </c>
      <c r="X342" s="891"/>
      <c r="Y342" s="514"/>
      <c r="Z342" s="885"/>
    </row>
    <row r="343" spans="2:26" ht="14.25" customHeight="1">
      <c r="B343" s="622"/>
      <c r="C343" s="623"/>
      <c r="D343" s="623"/>
      <c r="E343" s="624"/>
      <c r="F343" s="625"/>
      <c r="G343" s="626"/>
      <c r="H343" s="711"/>
      <c r="I343" s="885"/>
      <c r="J343" s="885"/>
      <c r="K343" s="262"/>
      <c r="L343" s="330">
        <v>14</v>
      </c>
      <c r="M343" s="428" t="s">
        <v>1159</v>
      </c>
      <c r="N343" s="331"/>
      <c r="O343" s="332"/>
      <c r="P343" s="464"/>
      <c r="Q343" s="487"/>
      <c r="R343" s="1020"/>
      <c r="S343" s="660"/>
      <c r="T343" s="564"/>
      <c r="U343" s="548">
        <f t="shared" si="47"/>
        <v>0</v>
      </c>
      <c r="V343" s="897"/>
      <c r="W343" s="620"/>
      <c r="X343" s="891"/>
      <c r="Y343" s="514"/>
      <c r="Z343" s="885"/>
    </row>
    <row r="344" spans="2:26" ht="14.25" customHeight="1">
      <c r="B344" s="622"/>
      <c r="C344" s="623"/>
      <c r="D344" s="623"/>
      <c r="E344" s="624"/>
      <c r="F344" s="625"/>
      <c r="G344" s="626"/>
      <c r="H344" s="711"/>
      <c r="I344" s="885"/>
      <c r="J344" s="885"/>
      <c r="K344" s="262"/>
      <c r="L344" s="330">
        <v>14</v>
      </c>
      <c r="M344" s="428" t="s">
        <v>1159</v>
      </c>
      <c r="N344" s="331" t="s">
        <v>1167</v>
      </c>
      <c r="O344" s="332"/>
      <c r="P344" s="464"/>
      <c r="Q344" s="487">
        <v>26000</v>
      </c>
      <c r="R344" s="1020"/>
      <c r="S344" s="660"/>
      <c r="T344" s="564">
        <v>46142</v>
      </c>
      <c r="U344" s="548">
        <f t="shared" si="47"/>
        <v>13966.137869520877</v>
      </c>
      <c r="V344" s="897"/>
      <c r="W344" s="620">
        <f>T344+7</f>
        <v>46149</v>
      </c>
      <c r="X344" s="891"/>
      <c r="Y344" s="514"/>
      <c r="Z344" s="885"/>
    </row>
    <row r="345" spans="2:26" ht="14.25" customHeight="1">
      <c r="B345" s="622"/>
      <c r="C345" s="623"/>
      <c r="D345" s="623"/>
      <c r="E345" s="624"/>
      <c r="F345" s="625"/>
      <c r="G345" s="626"/>
      <c r="H345" s="711"/>
      <c r="I345" s="885"/>
      <c r="J345" s="885"/>
      <c r="K345" s="262"/>
      <c r="L345" s="330">
        <v>14</v>
      </c>
      <c r="M345" s="428" t="s">
        <v>1159</v>
      </c>
      <c r="N345" s="331" t="s">
        <v>1168</v>
      </c>
      <c r="O345" s="332"/>
      <c r="P345" s="464"/>
      <c r="Q345" s="487">
        <f>26000+2000</f>
        <v>28000</v>
      </c>
      <c r="R345" s="1020"/>
      <c r="S345" s="660"/>
      <c r="T345" s="564">
        <v>46081</v>
      </c>
      <c r="U345" s="548">
        <f t="shared" si="47"/>
        <v>15040.456167176329</v>
      </c>
      <c r="V345" s="897"/>
      <c r="W345" s="620">
        <f>T345+7</f>
        <v>46088</v>
      </c>
      <c r="X345" s="891"/>
      <c r="Y345" s="514"/>
      <c r="Z345" s="885"/>
    </row>
    <row r="346" spans="2:26" ht="14.25" customHeight="1">
      <c r="B346" s="622"/>
      <c r="C346" s="623"/>
      <c r="D346" s="623"/>
      <c r="E346" s="624"/>
      <c r="F346" s="625"/>
      <c r="G346" s="626"/>
      <c r="H346" s="711"/>
      <c r="I346" s="885"/>
      <c r="J346" s="885"/>
      <c r="K346" s="262"/>
      <c r="L346" s="330">
        <v>14</v>
      </c>
      <c r="M346" s="428" t="s">
        <v>1159</v>
      </c>
      <c r="N346" s="331" t="s">
        <v>1169</v>
      </c>
      <c r="O346" s="332"/>
      <c r="P346" s="464"/>
      <c r="Q346" s="487">
        <f t="shared" ref="Q346:Q351" si="49">26000+2000</f>
        <v>28000</v>
      </c>
      <c r="R346" s="1020"/>
      <c r="S346" s="660"/>
      <c r="T346" s="564">
        <v>46112</v>
      </c>
      <c r="U346" s="548">
        <f t="shared" si="47"/>
        <v>15040.456167176329</v>
      </c>
      <c r="V346" s="897"/>
      <c r="W346" s="620">
        <f t="shared" ref="W346:W369" si="50">T346+7</f>
        <v>46119</v>
      </c>
      <c r="X346" s="891"/>
      <c r="Y346" s="514"/>
      <c r="Z346" s="885"/>
    </row>
    <row r="347" spans="2:26" ht="14.25" customHeight="1">
      <c r="B347" s="622"/>
      <c r="C347" s="623"/>
      <c r="D347" s="623"/>
      <c r="E347" s="624"/>
      <c r="F347" s="625"/>
      <c r="G347" s="626"/>
      <c r="H347" s="711"/>
      <c r="I347" s="885"/>
      <c r="J347" s="885"/>
      <c r="K347" s="262"/>
      <c r="L347" s="330">
        <v>14</v>
      </c>
      <c r="M347" s="428" t="s">
        <v>1159</v>
      </c>
      <c r="N347" s="331" t="s">
        <v>1170</v>
      </c>
      <c r="O347" s="332"/>
      <c r="P347" s="464"/>
      <c r="Q347" s="487">
        <f t="shared" si="49"/>
        <v>28000</v>
      </c>
      <c r="R347" s="1020"/>
      <c r="S347" s="660"/>
      <c r="T347" s="564">
        <v>46142</v>
      </c>
      <c r="U347" s="548">
        <f t="shared" si="47"/>
        <v>15040.456167176329</v>
      </c>
      <c r="V347" s="897"/>
      <c r="W347" s="620">
        <f t="shared" si="50"/>
        <v>46149</v>
      </c>
      <c r="X347" s="891"/>
      <c r="Y347" s="514"/>
      <c r="Z347" s="885"/>
    </row>
    <row r="348" spans="2:26" ht="14.25" customHeight="1">
      <c r="B348" s="622"/>
      <c r="C348" s="623"/>
      <c r="D348" s="623"/>
      <c r="E348" s="624"/>
      <c r="F348" s="625"/>
      <c r="G348" s="626"/>
      <c r="H348" s="711"/>
      <c r="I348" s="885"/>
      <c r="J348" s="885"/>
      <c r="K348" s="262"/>
      <c r="L348" s="330">
        <v>14</v>
      </c>
      <c r="M348" s="428" t="s">
        <v>1159</v>
      </c>
      <c r="N348" s="331" t="s">
        <v>1171</v>
      </c>
      <c r="O348" s="332"/>
      <c r="P348" s="464"/>
      <c r="Q348" s="487">
        <f t="shared" si="49"/>
        <v>28000</v>
      </c>
      <c r="R348" s="1020"/>
      <c r="S348" s="660"/>
      <c r="T348" s="564">
        <v>46173</v>
      </c>
      <c r="U348" s="548">
        <f t="shared" si="47"/>
        <v>15040.456167176329</v>
      </c>
      <c r="V348" s="897"/>
      <c r="W348" s="620">
        <f t="shared" si="50"/>
        <v>46180</v>
      </c>
      <c r="X348" s="891"/>
      <c r="Y348" s="514"/>
      <c r="Z348" s="885"/>
    </row>
    <row r="349" spans="2:26" ht="14.25" customHeight="1">
      <c r="B349" s="622"/>
      <c r="C349" s="623"/>
      <c r="D349" s="623"/>
      <c r="E349" s="624"/>
      <c r="F349" s="625"/>
      <c r="G349" s="626"/>
      <c r="H349" s="711"/>
      <c r="I349" s="885"/>
      <c r="J349" s="885"/>
      <c r="K349" s="262"/>
      <c r="L349" s="330">
        <v>14</v>
      </c>
      <c r="M349" s="428" t="s">
        <v>1159</v>
      </c>
      <c r="N349" s="331" t="s">
        <v>1172</v>
      </c>
      <c r="O349" s="332"/>
      <c r="P349" s="464"/>
      <c r="Q349" s="487">
        <f t="shared" si="49"/>
        <v>28000</v>
      </c>
      <c r="R349" s="1020"/>
      <c r="S349" s="660"/>
      <c r="T349" s="564">
        <v>46203</v>
      </c>
      <c r="U349" s="548">
        <f t="shared" si="47"/>
        <v>15040.456167176329</v>
      </c>
      <c r="V349" s="897"/>
      <c r="W349" s="620">
        <f t="shared" si="50"/>
        <v>46210</v>
      </c>
      <c r="X349" s="891"/>
      <c r="Y349" s="514"/>
      <c r="Z349" s="885"/>
    </row>
    <row r="350" spans="2:26" ht="14.25" customHeight="1">
      <c r="B350" s="622"/>
      <c r="C350" s="623"/>
      <c r="D350" s="623"/>
      <c r="E350" s="624"/>
      <c r="F350" s="625"/>
      <c r="G350" s="626"/>
      <c r="H350" s="711"/>
      <c r="I350" s="885"/>
      <c r="J350" s="885"/>
      <c r="K350" s="262"/>
      <c r="L350" s="330">
        <v>14</v>
      </c>
      <c r="M350" s="428" t="s">
        <v>1159</v>
      </c>
      <c r="N350" s="331" t="s">
        <v>1173</v>
      </c>
      <c r="O350" s="332"/>
      <c r="P350" s="464"/>
      <c r="Q350" s="487">
        <f t="shared" si="49"/>
        <v>28000</v>
      </c>
      <c r="R350" s="1020"/>
      <c r="S350" s="660"/>
      <c r="T350" s="564">
        <v>46234</v>
      </c>
      <c r="U350" s="548">
        <f t="shared" si="47"/>
        <v>15040.456167176329</v>
      </c>
      <c r="V350" s="897"/>
      <c r="W350" s="620">
        <f t="shared" si="50"/>
        <v>46241</v>
      </c>
      <c r="X350" s="891"/>
      <c r="Y350" s="514"/>
      <c r="Z350" s="885"/>
    </row>
    <row r="351" spans="2:26" ht="14.25" customHeight="1">
      <c r="B351" s="622"/>
      <c r="C351" s="623"/>
      <c r="D351" s="623"/>
      <c r="E351" s="624"/>
      <c r="F351" s="625"/>
      <c r="G351" s="626"/>
      <c r="H351" s="711"/>
      <c r="I351" s="885"/>
      <c r="J351" s="885"/>
      <c r="K351" s="262"/>
      <c r="L351" s="330">
        <v>14</v>
      </c>
      <c r="M351" s="428" t="s">
        <v>1159</v>
      </c>
      <c r="N351" s="331" t="s">
        <v>1174</v>
      </c>
      <c r="O351" s="332"/>
      <c r="P351" s="464"/>
      <c r="Q351" s="487">
        <f t="shared" si="49"/>
        <v>28000</v>
      </c>
      <c r="R351" s="1020"/>
      <c r="S351" s="660"/>
      <c r="T351" s="564">
        <v>46265</v>
      </c>
      <c r="U351" s="548">
        <f t="shared" si="47"/>
        <v>15040.456167176329</v>
      </c>
      <c r="V351" s="897"/>
      <c r="W351" s="620">
        <f t="shared" si="50"/>
        <v>46272</v>
      </c>
      <c r="X351" s="891"/>
      <c r="Y351" s="514"/>
      <c r="Z351" s="885"/>
    </row>
    <row r="352" spans="2:26" ht="14.25" customHeight="1">
      <c r="B352" s="622"/>
      <c r="C352" s="623"/>
      <c r="D352" s="623"/>
      <c r="E352" s="624"/>
      <c r="F352" s="625"/>
      <c r="G352" s="626"/>
      <c r="H352" s="711"/>
      <c r="I352" s="885"/>
      <c r="J352" s="885"/>
      <c r="K352" s="262"/>
      <c r="L352" s="330">
        <v>14</v>
      </c>
      <c r="M352" s="428" t="s">
        <v>1159</v>
      </c>
      <c r="N352" s="331" t="s">
        <v>1175</v>
      </c>
      <c r="O352" s="332"/>
      <c r="P352" s="464"/>
      <c r="Q352" s="487">
        <v>-26000</v>
      </c>
      <c r="R352" s="1020"/>
      <c r="S352" s="660"/>
      <c r="T352" s="564">
        <v>46265</v>
      </c>
      <c r="U352" s="548">
        <f t="shared" si="47"/>
        <v>-13966.137869520877</v>
      </c>
      <c r="V352" s="897"/>
      <c r="W352" s="620">
        <f t="shared" si="50"/>
        <v>46272</v>
      </c>
      <c r="X352" s="891"/>
      <c r="Y352" s="514"/>
      <c r="Z352" s="885"/>
    </row>
    <row r="353" spans="2:26" ht="14.25" customHeight="1">
      <c r="B353" s="622"/>
      <c r="C353" s="623"/>
      <c r="D353" s="623"/>
      <c r="E353" s="624"/>
      <c r="F353" s="625"/>
      <c r="G353" s="626"/>
      <c r="H353" s="711"/>
      <c r="I353" s="885"/>
      <c r="J353" s="885"/>
      <c r="K353" s="262"/>
      <c r="L353" s="330">
        <v>14</v>
      </c>
      <c r="M353" s="428" t="s">
        <v>1159</v>
      </c>
      <c r="N353" s="331"/>
      <c r="O353" s="332"/>
      <c r="P353" s="464"/>
      <c r="Q353" s="487"/>
      <c r="R353" s="1020"/>
      <c r="S353" s="660"/>
      <c r="T353" s="564"/>
      <c r="U353" s="548">
        <f t="shared" si="47"/>
        <v>0</v>
      </c>
      <c r="V353" s="897"/>
      <c r="W353" s="620"/>
      <c r="X353" s="891"/>
      <c r="Y353" s="514"/>
      <c r="Z353" s="885"/>
    </row>
    <row r="354" spans="2:26" ht="14.25" customHeight="1">
      <c r="B354" s="622"/>
      <c r="C354" s="623"/>
      <c r="D354" s="623"/>
      <c r="E354" s="624"/>
      <c r="F354" s="625"/>
      <c r="G354" s="626"/>
      <c r="H354" s="711"/>
      <c r="I354" s="885"/>
      <c r="J354" s="885"/>
      <c r="K354" s="262"/>
      <c r="L354" s="330">
        <v>14</v>
      </c>
      <c r="M354" s="428" t="s">
        <v>1159</v>
      </c>
      <c r="N354" s="331" t="s">
        <v>1176</v>
      </c>
      <c r="O354" s="332"/>
      <c r="P354" s="464"/>
      <c r="Q354" s="487">
        <f>15*2*5*21</f>
        <v>3150</v>
      </c>
      <c r="R354" s="1020"/>
      <c r="S354" s="660"/>
      <c r="T354" s="564" t="s">
        <v>1177</v>
      </c>
      <c r="U354" s="548">
        <f t="shared" si="47"/>
        <v>1692.0513188073371</v>
      </c>
      <c r="V354" s="897"/>
      <c r="W354" s="620">
        <v>46060</v>
      </c>
      <c r="X354" s="891"/>
      <c r="Y354" s="514"/>
      <c r="Z354" s="885"/>
    </row>
    <row r="355" spans="2:26" ht="14.25" customHeight="1">
      <c r="B355" s="622"/>
      <c r="C355" s="623"/>
      <c r="D355" s="623"/>
      <c r="E355" s="624"/>
      <c r="F355" s="625"/>
      <c r="G355" s="626"/>
      <c r="H355" s="711"/>
      <c r="I355" s="885"/>
      <c r="J355" s="885"/>
      <c r="K355" s="262"/>
      <c r="L355" s="330">
        <v>14</v>
      </c>
      <c r="M355" s="428" t="s">
        <v>1159</v>
      </c>
      <c r="N355" s="331" t="s">
        <v>1178</v>
      </c>
      <c r="O355" s="332"/>
      <c r="P355" s="464"/>
      <c r="Q355" s="487">
        <f t="shared" ref="Q355:Q361" si="51">15*2*5*21</f>
        <v>3150</v>
      </c>
      <c r="R355" s="1020"/>
      <c r="S355" s="660"/>
      <c r="T355" s="564">
        <v>46081</v>
      </c>
      <c r="U355" s="548">
        <f t="shared" si="47"/>
        <v>1692.0513188073371</v>
      </c>
      <c r="V355" s="897"/>
      <c r="W355" s="620">
        <f t="shared" si="50"/>
        <v>46088</v>
      </c>
      <c r="X355" s="891"/>
      <c r="Y355" s="514"/>
      <c r="Z355" s="885"/>
    </row>
    <row r="356" spans="2:26" ht="14.25" customHeight="1">
      <c r="B356" s="622"/>
      <c r="C356" s="623"/>
      <c r="D356" s="623"/>
      <c r="E356" s="624"/>
      <c r="F356" s="625"/>
      <c r="G356" s="626"/>
      <c r="H356" s="711"/>
      <c r="I356" s="885"/>
      <c r="J356" s="885"/>
      <c r="K356" s="262"/>
      <c r="L356" s="330">
        <v>14</v>
      </c>
      <c r="M356" s="428" t="s">
        <v>1159</v>
      </c>
      <c r="N356" s="331" t="s">
        <v>1179</v>
      </c>
      <c r="O356" s="332"/>
      <c r="P356" s="464"/>
      <c r="Q356" s="487">
        <f t="shared" si="51"/>
        <v>3150</v>
      </c>
      <c r="R356" s="1020"/>
      <c r="S356" s="660"/>
      <c r="T356" s="564">
        <v>46112</v>
      </c>
      <c r="U356" s="548">
        <f t="shared" si="47"/>
        <v>1692.0513188073371</v>
      </c>
      <c r="V356" s="897"/>
      <c r="W356" s="620">
        <f t="shared" si="50"/>
        <v>46119</v>
      </c>
      <c r="X356" s="891"/>
      <c r="Y356" s="514"/>
      <c r="Z356" s="885"/>
    </row>
    <row r="357" spans="2:26" ht="14.25" customHeight="1">
      <c r="B357" s="622"/>
      <c r="C357" s="623"/>
      <c r="D357" s="623"/>
      <c r="E357" s="624"/>
      <c r="F357" s="625"/>
      <c r="G357" s="626"/>
      <c r="H357" s="711"/>
      <c r="I357" s="885"/>
      <c r="J357" s="885"/>
      <c r="K357" s="262"/>
      <c r="L357" s="330">
        <v>14</v>
      </c>
      <c r="M357" s="428" t="s">
        <v>1159</v>
      </c>
      <c r="N357" s="331" t="s">
        <v>1180</v>
      </c>
      <c r="O357" s="332"/>
      <c r="P357" s="464"/>
      <c r="Q357" s="487">
        <f t="shared" si="51"/>
        <v>3150</v>
      </c>
      <c r="R357" s="1020"/>
      <c r="S357" s="660"/>
      <c r="T357" s="564">
        <v>46142</v>
      </c>
      <c r="U357" s="548">
        <f t="shared" si="47"/>
        <v>1692.0513188073371</v>
      </c>
      <c r="V357" s="897"/>
      <c r="W357" s="620">
        <f t="shared" si="50"/>
        <v>46149</v>
      </c>
      <c r="X357" s="891"/>
      <c r="Y357" s="514"/>
      <c r="Z357" s="885"/>
    </row>
    <row r="358" spans="2:26" ht="14.25" customHeight="1">
      <c r="B358" s="622"/>
      <c r="C358" s="623"/>
      <c r="D358" s="623"/>
      <c r="E358" s="624"/>
      <c r="F358" s="625"/>
      <c r="G358" s="626"/>
      <c r="H358" s="711"/>
      <c r="I358" s="885"/>
      <c r="J358" s="885"/>
      <c r="K358" s="262"/>
      <c r="L358" s="330">
        <v>14</v>
      </c>
      <c r="M358" s="428" t="s">
        <v>1159</v>
      </c>
      <c r="N358" s="331" t="s">
        <v>1181</v>
      </c>
      <c r="O358" s="332"/>
      <c r="P358" s="464"/>
      <c r="Q358" s="487">
        <f t="shared" si="51"/>
        <v>3150</v>
      </c>
      <c r="R358" s="1020"/>
      <c r="S358" s="660"/>
      <c r="T358" s="564">
        <v>46173</v>
      </c>
      <c r="U358" s="548">
        <f t="shared" si="47"/>
        <v>1692.0513188073371</v>
      </c>
      <c r="V358" s="897"/>
      <c r="W358" s="620">
        <f t="shared" si="50"/>
        <v>46180</v>
      </c>
      <c r="X358" s="891"/>
      <c r="Y358" s="514"/>
      <c r="Z358" s="885"/>
    </row>
    <row r="359" spans="2:26" ht="14.25" customHeight="1">
      <c r="B359" s="622"/>
      <c r="C359" s="623"/>
      <c r="D359" s="623"/>
      <c r="E359" s="624"/>
      <c r="F359" s="625"/>
      <c r="G359" s="626"/>
      <c r="H359" s="711"/>
      <c r="I359" s="885"/>
      <c r="J359" s="885"/>
      <c r="K359" s="262"/>
      <c r="L359" s="330">
        <v>14</v>
      </c>
      <c r="M359" s="428" t="s">
        <v>1159</v>
      </c>
      <c r="N359" s="331" t="s">
        <v>1182</v>
      </c>
      <c r="O359" s="332"/>
      <c r="P359" s="464"/>
      <c r="Q359" s="487">
        <f t="shared" si="51"/>
        <v>3150</v>
      </c>
      <c r="R359" s="1020"/>
      <c r="S359" s="660"/>
      <c r="T359" s="564">
        <v>46203</v>
      </c>
      <c r="U359" s="548">
        <f t="shared" si="47"/>
        <v>1692.0513188073371</v>
      </c>
      <c r="V359" s="897"/>
      <c r="W359" s="620">
        <f t="shared" si="50"/>
        <v>46210</v>
      </c>
      <c r="X359" s="891"/>
      <c r="Y359" s="514"/>
      <c r="Z359" s="885"/>
    </row>
    <row r="360" spans="2:26" ht="14.25" customHeight="1">
      <c r="B360" s="622"/>
      <c r="C360" s="623"/>
      <c r="D360" s="623"/>
      <c r="E360" s="624"/>
      <c r="F360" s="625"/>
      <c r="G360" s="626"/>
      <c r="H360" s="711"/>
      <c r="I360" s="885"/>
      <c r="J360" s="885"/>
      <c r="K360" s="262"/>
      <c r="L360" s="330">
        <v>14</v>
      </c>
      <c r="M360" s="428" t="s">
        <v>1159</v>
      </c>
      <c r="N360" s="331" t="s">
        <v>1183</v>
      </c>
      <c r="O360" s="332"/>
      <c r="P360" s="464"/>
      <c r="Q360" s="487">
        <f t="shared" si="51"/>
        <v>3150</v>
      </c>
      <c r="R360" s="1020"/>
      <c r="S360" s="660"/>
      <c r="T360" s="564">
        <v>46234</v>
      </c>
      <c r="U360" s="548">
        <f t="shared" si="47"/>
        <v>1692.0513188073371</v>
      </c>
      <c r="V360" s="897"/>
      <c r="W360" s="620">
        <f t="shared" si="50"/>
        <v>46241</v>
      </c>
      <c r="X360" s="891"/>
      <c r="Y360" s="514"/>
      <c r="Z360" s="885"/>
    </row>
    <row r="361" spans="2:26" ht="14.25" customHeight="1">
      <c r="B361" s="622"/>
      <c r="C361" s="623"/>
      <c r="D361" s="623"/>
      <c r="E361" s="624"/>
      <c r="F361" s="625"/>
      <c r="G361" s="626"/>
      <c r="H361" s="711"/>
      <c r="I361" s="885"/>
      <c r="J361" s="885"/>
      <c r="K361" s="262"/>
      <c r="L361" s="330">
        <v>14</v>
      </c>
      <c r="M361" s="428" t="s">
        <v>1159</v>
      </c>
      <c r="N361" s="331" t="s">
        <v>1184</v>
      </c>
      <c r="O361" s="332"/>
      <c r="P361" s="464"/>
      <c r="Q361" s="487">
        <f t="shared" si="51"/>
        <v>3150</v>
      </c>
      <c r="R361" s="1020"/>
      <c r="S361" s="660"/>
      <c r="T361" s="564">
        <v>46265</v>
      </c>
      <c r="U361" s="548">
        <f t="shared" si="47"/>
        <v>1692.0513188073371</v>
      </c>
      <c r="V361" s="897"/>
      <c r="W361" s="620">
        <f t="shared" si="50"/>
        <v>46272</v>
      </c>
      <c r="X361" s="891"/>
      <c r="Y361" s="514"/>
      <c r="Z361" s="885"/>
    </row>
    <row r="362" spans="2:26" ht="14.25" customHeight="1">
      <c r="B362" s="622"/>
      <c r="C362" s="623"/>
      <c r="D362" s="623"/>
      <c r="E362" s="624"/>
      <c r="F362" s="625"/>
      <c r="G362" s="626"/>
      <c r="H362" s="711"/>
      <c r="I362" s="885"/>
      <c r="J362" s="885"/>
      <c r="K362" s="262"/>
      <c r="L362" s="330">
        <v>14</v>
      </c>
      <c r="M362" s="428" t="s">
        <v>1159</v>
      </c>
      <c r="N362" s="331"/>
      <c r="O362" s="332"/>
      <c r="P362" s="464"/>
      <c r="Q362" s="487"/>
      <c r="R362" s="1020"/>
      <c r="S362" s="660"/>
      <c r="T362" s="564"/>
      <c r="U362" s="548">
        <f t="shared" si="47"/>
        <v>0</v>
      </c>
      <c r="V362" s="897"/>
      <c r="W362" s="620"/>
      <c r="X362" s="891"/>
      <c r="Y362" s="514"/>
      <c r="Z362" s="885"/>
    </row>
    <row r="363" spans="2:26" ht="14.25" customHeight="1">
      <c r="B363" s="622"/>
      <c r="C363" s="623"/>
      <c r="D363" s="623"/>
      <c r="E363" s="624"/>
      <c r="F363" s="625"/>
      <c r="G363" s="626"/>
      <c r="H363" s="711"/>
      <c r="I363" s="885"/>
      <c r="J363" s="885"/>
      <c r="K363" s="262"/>
      <c r="L363" s="330">
        <v>14</v>
      </c>
      <c r="M363" s="428" t="s">
        <v>1159</v>
      </c>
      <c r="N363" s="331" t="s">
        <v>1185</v>
      </c>
      <c r="O363" s="332"/>
      <c r="P363" s="464"/>
      <c r="Q363" s="487">
        <f t="shared" ref="Q363:Q369" si="52">200*2*22</f>
        <v>8800</v>
      </c>
      <c r="R363" s="1020"/>
      <c r="S363" s="660"/>
      <c r="T363" s="564">
        <v>46081</v>
      </c>
      <c r="U363" s="548">
        <f t="shared" si="47"/>
        <v>4727.0005096839886</v>
      </c>
      <c r="V363" s="897"/>
      <c r="W363" s="620">
        <f t="shared" si="50"/>
        <v>46088</v>
      </c>
      <c r="X363" s="891"/>
      <c r="Y363" s="514"/>
      <c r="Z363" s="885"/>
    </row>
    <row r="364" spans="2:26" ht="14.25" customHeight="1">
      <c r="B364" s="622"/>
      <c r="C364" s="623"/>
      <c r="D364" s="623"/>
      <c r="E364" s="624"/>
      <c r="F364" s="625"/>
      <c r="G364" s="626"/>
      <c r="H364" s="711"/>
      <c r="I364" s="885"/>
      <c r="J364" s="885"/>
      <c r="K364" s="262"/>
      <c r="L364" s="330">
        <v>14</v>
      </c>
      <c r="M364" s="428" t="s">
        <v>1159</v>
      </c>
      <c r="N364" s="331" t="s">
        <v>1186</v>
      </c>
      <c r="O364" s="332"/>
      <c r="P364" s="464"/>
      <c r="Q364" s="487">
        <f t="shared" si="52"/>
        <v>8800</v>
      </c>
      <c r="R364" s="1020"/>
      <c r="S364" s="660"/>
      <c r="T364" s="564">
        <v>46112</v>
      </c>
      <c r="U364" s="548">
        <f t="shared" si="47"/>
        <v>4727.0005096839886</v>
      </c>
      <c r="V364" s="897"/>
      <c r="W364" s="620">
        <f t="shared" si="50"/>
        <v>46119</v>
      </c>
      <c r="X364" s="891"/>
      <c r="Y364" s="514"/>
      <c r="Z364" s="885"/>
    </row>
    <row r="365" spans="2:26" ht="14.25" customHeight="1">
      <c r="B365" s="622"/>
      <c r="C365" s="623"/>
      <c r="D365" s="623"/>
      <c r="E365" s="624"/>
      <c r="F365" s="625"/>
      <c r="G365" s="626"/>
      <c r="H365" s="711"/>
      <c r="I365" s="885"/>
      <c r="J365" s="885"/>
      <c r="K365" s="262"/>
      <c r="L365" s="330">
        <v>14</v>
      </c>
      <c r="M365" s="428" t="s">
        <v>1159</v>
      </c>
      <c r="N365" s="331" t="s">
        <v>1187</v>
      </c>
      <c r="O365" s="332"/>
      <c r="P365" s="464"/>
      <c r="Q365" s="487">
        <f t="shared" si="52"/>
        <v>8800</v>
      </c>
      <c r="R365" s="1020"/>
      <c r="S365" s="660"/>
      <c r="T365" s="564">
        <v>46142</v>
      </c>
      <c r="U365" s="548">
        <f t="shared" si="47"/>
        <v>4727.0005096839886</v>
      </c>
      <c r="V365" s="897"/>
      <c r="W365" s="620">
        <f t="shared" si="50"/>
        <v>46149</v>
      </c>
      <c r="X365" s="891"/>
      <c r="Y365" s="514"/>
      <c r="Z365" s="885"/>
    </row>
    <row r="366" spans="2:26" ht="14.25" customHeight="1">
      <c r="B366" s="622"/>
      <c r="C366" s="623"/>
      <c r="D366" s="623"/>
      <c r="E366" s="624"/>
      <c r="F366" s="625"/>
      <c r="G366" s="626"/>
      <c r="H366" s="711"/>
      <c r="I366" s="885"/>
      <c r="J366" s="885"/>
      <c r="K366" s="262"/>
      <c r="L366" s="330">
        <v>14</v>
      </c>
      <c r="M366" s="428" t="s">
        <v>1159</v>
      </c>
      <c r="N366" s="331" t="s">
        <v>1188</v>
      </c>
      <c r="O366" s="332"/>
      <c r="P366" s="464"/>
      <c r="Q366" s="487">
        <f t="shared" si="52"/>
        <v>8800</v>
      </c>
      <c r="R366" s="1020"/>
      <c r="S366" s="660"/>
      <c r="T366" s="564">
        <v>46173</v>
      </c>
      <c r="U366" s="548">
        <f t="shared" si="47"/>
        <v>4727.0005096839886</v>
      </c>
      <c r="V366" s="897"/>
      <c r="W366" s="620">
        <f t="shared" si="50"/>
        <v>46180</v>
      </c>
      <c r="X366" s="891"/>
      <c r="Y366" s="514"/>
      <c r="Z366" s="885"/>
    </row>
    <row r="367" spans="2:26" ht="14.25" customHeight="1">
      <c r="B367" s="622"/>
      <c r="C367" s="623"/>
      <c r="D367" s="623"/>
      <c r="E367" s="624"/>
      <c r="F367" s="625"/>
      <c r="G367" s="626"/>
      <c r="H367" s="711"/>
      <c r="I367" s="885"/>
      <c r="J367" s="885"/>
      <c r="K367" s="262"/>
      <c r="L367" s="330">
        <v>14</v>
      </c>
      <c r="M367" s="428" t="s">
        <v>1159</v>
      </c>
      <c r="N367" s="331" t="s">
        <v>1189</v>
      </c>
      <c r="O367" s="332"/>
      <c r="P367" s="464"/>
      <c r="Q367" s="487">
        <f t="shared" si="52"/>
        <v>8800</v>
      </c>
      <c r="R367" s="1020"/>
      <c r="S367" s="660"/>
      <c r="T367" s="564">
        <v>46203</v>
      </c>
      <c r="U367" s="548">
        <f t="shared" si="47"/>
        <v>4727.0005096839886</v>
      </c>
      <c r="V367" s="897"/>
      <c r="W367" s="620">
        <f t="shared" si="50"/>
        <v>46210</v>
      </c>
      <c r="X367" s="891"/>
      <c r="Y367" s="514"/>
      <c r="Z367" s="885"/>
    </row>
    <row r="368" spans="2:26" ht="14.25" customHeight="1">
      <c r="B368" s="622"/>
      <c r="C368" s="623"/>
      <c r="D368" s="623"/>
      <c r="E368" s="624"/>
      <c r="F368" s="625"/>
      <c r="G368" s="626"/>
      <c r="H368" s="711"/>
      <c r="I368" s="885"/>
      <c r="J368" s="885"/>
      <c r="K368" s="262"/>
      <c r="L368" s="330">
        <v>14</v>
      </c>
      <c r="M368" s="428" t="s">
        <v>1159</v>
      </c>
      <c r="N368" s="331" t="s">
        <v>1190</v>
      </c>
      <c r="O368" s="332"/>
      <c r="P368" s="464"/>
      <c r="Q368" s="487">
        <f t="shared" si="52"/>
        <v>8800</v>
      </c>
      <c r="R368" s="1020"/>
      <c r="S368" s="660"/>
      <c r="T368" s="564">
        <v>46234</v>
      </c>
      <c r="U368" s="548">
        <f t="shared" si="47"/>
        <v>4727.0005096839886</v>
      </c>
      <c r="V368" s="897"/>
      <c r="W368" s="620">
        <f t="shared" si="50"/>
        <v>46241</v>
      </c>
      <c r="X368" s="891"/>
      <c r="Y368" s="514"/>
      <c r="Z368" s="885"/>
    </row>
    <row r="369" spans="1:26" ht="14.25" customHeight="1">
      <c r="B369" s="622"/>
      <c r="C369" s="623"/>
      <c r="D369" s="623"/>
      <c r="E369" s="624"/>
      <c r="F369" s="625"/>
      <c r="G369" s="626"/>
      <c r="H369" s="711"/>
      <c r="I369" s="885"/>
      <c r="J369" s="885"/>
      <c r="K369" s="262"/>
      <c r="L369" s="330">
        <v>14</v>
      </c>
      <c r="M369" s="428" t="s">
        <v>1159</v>
      </c>
      <c r="N369" s="331" t="s">
        <v>1191</v>
      </c>
      <c r="O369" s="332"/>
      <c r="P369" s="464"/>
      <c r="Q369" s="487">
        <f t="shared" si="52"/>
        <v>8800</v>
      </c>
      <c r="R369" s="1020"/>
      <c r="S369" s="660"/>
      <c r="T369" s="564">
        <v>46265</v>
      </c>
      <c r="U369" s="548">
        <f t="shared" si="47"/>
        <v>4727.0005096839886</v>
      </c>
      <c r="V369" s="897"/>
      <c r="W369" s="620">
        <f t="shared" si="50"/>
        <v>46272</v>
      </c>
      <c r="X369" s="891"/>
      <c r="Y369" s="514"/>
      <c r="Z369" s="885"/>
    </row>
    <row r="370" spans="1:26" ht="14.25" customHeight="1">
      <c r="B370" s="622"/>
      <c r="C370" s="623"/>
      <c r="D370" s="623"/>
      <c r="E370" s="624"/>
      <c r="F370" s="625"/>
      <c r="G370" s="626"/>
      <c r="H370" s="711"/>
      <c r="I370" s="885"/>
      <c r="J370" s="885"/>
      <c r="K370" s="262"/>
      <c r="L370" s="330">
        <v>14</v>
      </c>
      <c r="M370" s="428" t="s">
        <v>1159</v>
      </c>
      <c r="N370" s="331"/>
      <c r="O370" s="332"/>
      <c r="P370" s="464"/>
      <c r="Q370" s="487"/>
      <c r="R370" s="1020"/>
      <c r="S370" s="660"/>
      <c r="T370" s="564"/>
      <c r="U370" s="548">
        <f t="shared" si="47"/>
        <v>0</v>
      </c>
      <c r="V370" s="897"/>
      <c r="W370" s="620"/>
      <c r="X370" s="891"/>
      <c r="Y370" s="514"/>
      <c r="Z370" s="885"/>
    </row>
    <row r="371" spans="1:26" ht="15" customHeight="1" thickBot="1">
      <c r="B371" s="263">
        <v>14</v>
      </c>
      <c r="C371" s="334"/>
      <c r="D371" s="334"/>
      <c r="E371" s="335"/>
      <c r="F371" s="465"/>
      <c r="G371" s="264"/>
      <c r="H371" s="712"/>
      <c r="I371" s="886"/>
      <c r="J371" s="886"/>
      <c r="K371" s="265"/>
      <c r="L371" s="263">
        <v>14</v>
      </c>
      <c r="M371" s="429" t="s">
        <v>1159</v>
      </c>
      <c r="N371" s="334"/>
      <c r="O371" s="335"/>
      <c r="P371" s="465"/>
      <c r="Q371" s="488"/>
      <c r="R371" s="1021"/>
      <c r="S371" s="661"/>
      <c r="T371" s="565" t="str">
        <f t="shared" ref="T371:T395" si="53">IF(W371&gt;1,EOMONTH(W371,0),"")</f>
        <v/>
      </c>
      <c r="U371" s="548">
        <f t="shared" si="47"/>
        <v>0</v>
      </c>
      <c r="V371" s="898"/>
      <c r="W371" s="621"/>
      <c r="X371" s="892"/>
      <c r="Y371" s="515"/>
      <c r="Z371" s="886"/>
    </row>
    <row r="372" spans="1:26" ht="14.5" thickBot="1">
      <c r="A372" s="24"/>
      <c r="B372" s="280"/>
      <c r="C372" s="267"/>
      <c r="D372" s="267"/>
      <c r="E372" s="281"/>
      <c r="F372" s="449"/>
      <c r="G372" s="282"/>
      <c r="H372" s="700"/>
      <c r="I372" s="336"/>
      <c r="J372" s="336"/>
      <c r="K372" s="24"/>
      <c r="L372" s="280"/>
      <c r="M372" s="267"/>
      <c r="N372" s="267"/>
      <c r="O372" s="281"/>
      <c r="P372" s="449"/>
      <c r="Q372" s="479"/>
      <c r="R372" s="1010"/>
      <c r="S372" s="652"/>
      <c r="T372" s="553" t="str">
        <f t="shared" si="53"/>
        <v/>
      </c>
      <c r="U372" s="541"/>
      <c r="V372" s="521"/>
      <c r="W372" s="610"/>
      <c r="X372" s="517"/>
      <c r="Y372" s="508"/>
      <c r="Z372" s="336"/>
    </row>
    <row r="373" spans="1:26">
      <c r="B373" s="271">
        <v>15</v>
      </c>
      <c r="C373" s="272" t="s">
        <v>1192</v>
      </c>
      <c r="D373" s="272" t="s">
        <v>1193</v>
      </c>
      <c r="E373" s="273"/>
      <c r="F373" s="430"/>
      <c r="G373" s="274">
        <v>2000000</v>
      </c>
      <c r="H373" s="701">
        <v>45900</v>
      </c>
      <c r="I373" s="878">
        <f>SUM(G373:G395)</f>
        <v>2000000</v>
      </c>
      <c r="J373" s="878">
        <v>2173913.0434782598</v>
      </c>
      <c r="K373" s="275"/>
      <c r="L373" s="271">
        <v>15</v>
      </c>
      <c r="M373" s="341" t="s">
        <v>1194</v>
      </c>
      <c r="N373" s="272"/>
      <c r="O373" s="273"/>
      <c r="P373" s="430"/>
      <c r="Q373" s="480"/>
      <c r="R373" s="873"/>
      <c r="S373" s="653"/>
      <c r="T373" s="557"/>
      <c r="U373" s="542">
        <f>(Q373/$X$373*$J$373)</f>
        <v>0</v>
      </c>
      <c r="V373" s="893">
        <f>J373-SUM(U373:U395)</f>
        <v>0</v>
      </c>
      <c r="W373" s="614"/>
      <c r="X373" s="887">
        <f>SUM(Q373:Q395)</f>
        <v>4089163.0843127687</v>
      </c>
      <c r="Y373" s="511"/>
      <c r="Z373" s="878">
        <f>I373-X373</f>
        <v>-2089163.0843127687</v>
      </c>
    </row>
    <row r="374" spans="1:26">
      <c r="B374" s="758"/>
      <c r="C374" s="759"/>
      <c r="D374" s="759"/>
      <c r="E374" s="760"/>
      <c r="F374" s="761"/>
      <c r="G374" s="762"/>
      <c r="H374" s="763"/>
      <c r="I374" s="879"/>
      <c r="J374" s="879"/>
      <c r="K374" s="278"/>
      <c r="L374" s="301">
        <v>15</v>
      </c>
      <c r="M374" s="381" t="s">
        <v>1194</v>
      </c>
      <c r="N374" s="303"/>
      <c r="O374" s="304"/>
      <c r="P374" s="452"/>
      <c r="Q374" s="475"/>
      <c r="R374" s="1004"/>
      <c r="S374" s="645"/>
      <c r="T374" s="557" t="str">
        <f t="shared" ref="T374:T383" si="54">IF(W374&gt;1,EOMONTH(W374,0),"")</f>
        <v/>
      </c>
      <c r="U374" s="542">
        <f>(Q374/$X$373*$J$373)</f>
        <v>0</v>
      </c>
      <c r="V374" s="894"/>
      <c r="W374" s="608"/>
      <c r="X374" s="888"/>
      <c r="Y374" s="507"/>
      <c r="Z374" s="879"/>
    </row>
    <row r="375" spans="1:26">
      <c r="B375" s="758"/>
      <c r="C375" s="759"/>
      <c r="D375" s="759"/>
      <c r="E375" s="760"/>
      <c r="F375" s="761"/>
      <c r="G375" s="762"/>
      <c r="H375" s="763"/>
      <c r="I375" s="879"/>
      <c r="J375" s="879"/>
      <c r="K375" s="278"/>
      <c r="L375" s="301">
        <v>15</v>
      </c>
      <c r="M375" s="381" t="s">
        <v>1194</v>
      </c>
      <c r="N375" s="303" t="s">
        <v>1195</v>
      </c>
      <c r="O375" s="304">
        <v>1</v>
      </c>
      <c r="P375" s="452">
        <f>(0.9-O376)*9.9*1200000</f>
        <v>1187999.9999999998</v>
      </c>
      <c r="Q375" s="475">
        <f>O375*P375</f>
        <v>1187999.9999999998</v>
      </c>
      <c r="R375" s="1004"/>
      <c r="S375" s="645"/>
      <c r="T375" s="557">
        <f t="shared" si="54"/>
        <v>46265</v>
      </c>
      <c r="U375" s="542">
        <f>(Q375/$X$373*$J$373)</f>
        <v>631573.90458693577</v>
      </c>
      <c r="V375" s="894"/>
      <c r="W375" s="608">
        <v>46265</v>
      </c>
      <c r="X375" s="888"/>
      <c r="Y375" s="507"/>
      <c r="Z375" s="879"/>
    </row>
    <row r="376" spans="1:26">
      <c r="B376" s="758"/>
      <c r="C376" s="759"/>
      <c r="D376" s="759"/>
      <c r="E376" s="760"/>
      <c r="F376" s="761"/>
      <c r="G376" s="762"/>
      <c r="H376" s="763"/>
      <c r="I376" s="879"/>
      <c r="J376" s="879"/>
      <c r="K376" s="278"/>
      <c r="L376" s="301">
        <v>15</v>
      </c>
      <c r="M376" s="381" t="s">
        <v>1194</v>
      </c>
      <c r="N376" s="303" t="s">
        <v>1196</v>
      </c>
      <c r="O376" s="800">
        <v>0.8</v>
      </c>
      <c r="P376" s="452"/>
      <c r="Q376" s="475"/>
      <c r="R376" s="1004"/>
      <c r="S376" s="645"/>
      <c r="T376" s="557" t="str">
        <f t="shared" si="54"/>
        <v/>
      </c>
      <c r="U376" s="542">
        <f t="shared" ref="U376:U394" si="55">(Q376/$X$373*$J$373)</f>
        <v>0</v>
      </c>
      <c r="V376" s="894"/>
      <c r="W376" s="608"/>
      <c r="X376" s="888"/>
      <c r="Y376" s="507"/>
      <c r="Z376" s="879"/>
    </row>
    <row r="377" spans="1:26">
      <c r="B377" s="758"/>
      <c r="C377" s="759"/>
      <c r="D377" s="759"/>
      <c r="E377" s="760"/>
      <c r="F377" s="761"/>
      <c r="G377" s="762"/>
      <c r="H377" s="763"/>
      <c r="I377" s="879"/>
      <c r="J377" s="879"/>
      <c r="K377" s="278"/>
      <c r="L377" s="301">
        <v>15</v>
      </c>
      <c r="M377" s="381" t="s">
        <v>1194</v>
      </c>
      <c r="N377" s="303"/>
      <c r="O377" s="304"/>
      <c r="P377" s="452"/>
      <c r="Q377" s="475"/>
      <c r="R377" s="1004"/>
      <c r="S377" s="645"/>
      <c r="T377" s="557" t="str">
        <f t="shared" si="54"/>
        <v/>
      </c>
      <c r="U377" s="542">
        <f t="shared" si="55"/>
        <v>0</v>
      </c>
      <c r="V377" s="894"/>
      <c r="W377" s="608"/>
      <c r="X377" s="888"/>
      <c r="Y377" s="507"/>
      <c r="Z377" s="879"/>
    </row>
    <row r="378" spans="1:26">
      <c r="B378" s="758"/>
      <c r="C378" s="759"/>
      <c r="D378" s="759"/>
      <c r="E378" s="760"/>
      <c r="F378" s="761"/>
      <c r="G378" s="762"/>
      <c r="H378" s="763"/>
      <c r="I378" s="879"/>
      <c r="J378" s="879"/>
      <c r="K378" s="278"/>
      <c r="L378" s="301">
        <v>15</v>
      </c>
      <c r="M378" s="381" t="s">
        <v>1194</v>
      </c>
      <c r="N378" s="303" t="s">
        <v>1197</v>
      </c>
      <c r="O378" s="304"/>
      <c r="P378" s="452"/>
      <c r="Q378" s="475">
        <f>P379*P380*O381</f>
        <v>1724395.3443127689</v>
      </c>
      <c r="R378" s="1004"/>
      <c r="S378" s="645"/>
      <c r="T378" s="557">
        <f t="shared" si="54"/>
        <v>46265</v>
      </c>
      <c r="U378" s="542">
        <f t="shared" si="55"/>
        <v>916736.61671645532</v>
      </c>
      <c r="V378" s="894"/>
      <c r="W378" s="608">
        <f>W375</f>
        <v>46265</v>
      </c>
      <c r="X378" s="888"/>
      <c r="Y378" s="507"/>
      <c r="Z378" s="879"/>
    </row>
    <row r="379" spans="1:26">
      <c r="B379" s="758"/>
      <c r="C379" s="759"/>
      <c r="D379" s="759"/>
      <c r="E379" s="760"/>
      <c r="F379" s="761"/>
      <c r="G379" s="762"/>
      <c r="H379" s="763"/>
      <c r="I379" s="879"/>
      <c r="J379" s="879"/>
      <c r="K379" s="278"/>
      <c r="L379" s="301">
        <v>15</v>
      </c>
      <c r="M379" s="381" t="s">
        <v>1194</v>
      </c>
      <c r="N379" s="303" t="s">
        <v>1198</v>
      </c>
      <c r="O379" s="304"/>
      <c r="P379" s="452">
        <v>0.99</v>
      </c>
      <c r="Q379" s="475"/>
      <c r="R379" s="1004"/>
      <c r="S379" s="645"/>
      <c r="T379" s="557" t="str">
        <f t="shared" si="54"/>
        <v/>
      </c>
      <c r="U379" s="542">
        <f t="shared" si="55"/>
        <v>0</v>
      </c>
      <c r="V379" s="894"/>
      <c r="W379" s="608"/>
      <c r="X379" s="888"/>
      <c r="Y379" s="507"/>
      <c r="Z379" s="879"/>
    </row>
    <row r="380" spans="1:26">
      <c r="B380" s="758"/>
      <c r="C380" s="759"/>
      <c r="D380" s="759"/>
      <c r="E380" s="760"/>
      <c r="F380" s="761"/>
      <c r="G380" s="762"/>
      <c r="H380" s="763"/>
      <c r="I380" s="879"/>
      <c r="J380" s="879"/>
      <c r="K380" s="278"/>
      <c r="L380" s="301">
        <v>15</v>
      </c>
      <c r="M380" s="381" t="s">
        <v>1194</v>
      </c>
      <c r="N380" s="303" t="s">
        <v>1199</v>
      </c>
      <c r="O380" s="304"/>
      <c r="P380" s="801">
        <f>51229.8082089355</f>
        <v>51229.808208935501</v>
      </c>
      <c r="Q380" s="475"/>
      <c r="R380" s="1004"/>
      <c r="S380" s="645"/>
      <c r="T380" s="557" t="str">
        <f t="shared" si="54"/>
        <v/>
      </c>
      <c r="U380" s="542">
        <f t="shared" si="55"/>
        <v>0</v>
      </c>
      <c r="V380" s="894"/>
      <c r="W380" s="608"/>
      <c r="X380" s="888"/>
      <c r="Y380" s="507"/>
      <c r="Z380" s="879"/>
    </row>
    <row r="381" spans="1:26">
      <c r="B381" s="758"/>
      <c r="C381" s="759"/>
      <c r="D381" s="759"/>
      <c r="E381" s="760"/>
      <c r="F381" s="761"/>
      <c r="G381" s="762"/>
      <c r="H381" s="763"/>
      <c r="I381" s="879"/>
      <c r="J381" s="879"/>
      <c r="K381" s="278"/>
      <c r="L381" s="301">
        <v>15</v>
      </c>
      <c r="M381" s="381" t="s">
        <v>1194</v>
      </c>
      <c r="N381" s="303" t="s">
        <v>1200</v>
      </c>
      <c r="O381" s="304">
        <f>('Project Plan'!Y33-('Project Plan'!W28+(5*30)))*2</f>
        <v>34</v>
      </c>
      <c r="P381" s="452"/>
      <c r="Q381" s="475"/>
      <c r="R381" s="1004"/>
      <c r="S381" s="645"/>
      <c r="T381" s="557" t="str">
        <f t="shared" si="54"/>
        <v/>
      </c>
      <c r="U381" s="542">
        <f t="shared" si="55"/>
        <v>0</v>
      </c>
      <c r="V381" s="894"/>
      <c r="W381" s="608"/>
      <c r="X381" s="888"/>
      <c r="Y381" s="507"/>
      <c r="Z381" s="879"/>
    </row>
    <row r="382" spans="1:26">
      <c r="B382" s="758"/>
      <c r="C382" s="759"/>
      <c r="D382" s="759"/>
      <c r="E382" s="760"/>
      <c r="F382" s="761"/>
      <c r="G382" s="762"/>
      <c r="H382" s="763"/>
      <c r="I382" s="879"/>
      <c r="J382" s="879"/>
      <c r="K382" s="278"/>
      <c r="L382" s="301">
        <v>15</v>
      </c>
      <c r="M382" s="381" t="s">
        <v>1194</v>
      </c>
      <c r="N382" s="303"/>
      <c r="O382" s="304"/>
      <c r="P382" s="452"/>
      <c r="Q382" s="475"/>
      <c r="R382" s="1004"/>
      <c r="S382" s="645"/>
      <c r="T382" s="557" t="str">
        <f t="shared" si="54"/>
        <v/>
      </c>
      <c r="U382" s="542">
        <f t="shared" si="55"/>
        <v>0</v>
      </c>
      <c r="V382" s="894"/>
      <c r="W382" s="608"/>
      <c r="X382" s="888"/>
      <c r="Y382" s="507"/>
      <c r="Z382" s="879"/>
    </row>
    <row r="383" spans="1:26">
      <c r="B383" s="758"/>
      <c r="C383" s="759"/>
      <c r="D383" s="759"/>
      <c r="E383" s="760"/>
      <c r="F383" s="761"/>
      <c r="G383" s="762"/>
      <c r="H383" s="763"/>
      <c r="I383" s="879"/>
      <c r="J383" s="879"/>
      <c r="K383" s="278"/>
      <c r="L383" s="301">
        <v>15</v>
      </c>
      <c r="M383" s="381" t="s">
        <v>1194</v>
      </c>
      <c r="N383" s="303" t="s">
        <v>1201</v>
      </c>
      <c r="O383" s="304"/>
      <c r="P383" s="452"/>
      <c r="Q383" s="475">
        <v>100000</v>
      </c>
      <c r="R383" s="1004"/>
      <c r="S383" s="645"/>
      <c r="T383" s="557">
        <f t="shared" si="54"/>
        <v>46265</v>
      </c>
      <c r="U383" s="542">
        <f t="shared" si="55"/>
        <v>53162.786581391905</v>
      </c>
      <c r="V383" s="894"/>
      <c r="W383" s="608">
        <v>46265</v>
      </c>
      <c r="X383" s="888"/>
      <c r="Y383" s="507"/>
      <c r="Z383" s="879"/>
    </row>
    <row r="384" spans="1:26">
      <c r="B384" s="758"/>
      <c r="C384" s="759"/>
      <c r="D384" s="759"/>
      <c r="E384" s="760"/>
      <c r="F384" s="761"/>
      <c r="G384" s="762"/>
      <c r="H384" s="763"/>
      <c r="I384" s="879"/>
      <c r="J384" s="879"/>
      <c r="K384" s="278"/>
      <c r="L384" s="301">
        <v>15</v>
      </c>
      <c r="M384" s="381" t="s">
        <v>1194</v>
      </c>
      <c r="N384" s="303"/>
      <c r="O384" s="304"/>
      <c r="P384" s="452"/>
      <c r="Q384" s="475"/>
      <c r="R384" s="1004"/>
      <c r="S384" s="645"/>
      <c r="T384" s="557"/>
      <c r="U384" s="542"/>
      <c r="V384" s="894"/>
      <c r="W384" s="608"/>
      <c r="X384" s="888"/>
      <c r="Y384" s="507"/>
      <c r="Z384" s="879"/>
    </row>
    <row r="385" spans="2:77">
      <c r="B385" s="758"/>
      <c r="C385" s="759"/>
      <c r="D385" s="759"/>
      <c r="E385" s="760"/>
      <c r="F385" s="761"/>
      <c r="G385" s="762"/>
      <c r="H385" s="763"/>
      <c r="I385" s="879"/>
      <c r="J385" s="879"/>
      <c r="K385" s="278"/>
      <c r="L385" s="301">
        <v>15</v>
      </c>
      <c r="M385" s="381" t="s">
        <v>1194</v>
      </c>
      <c r="N385" s="303" t="s">
        <v>1202</v>
      </c>
      <c r="O385" s="304"/>
      <c r="P385" s="452"/>
      <c r="Q385" s="475">
        <v>92000</v>
      </c>
      <c r="R385" s="1004"/>
      <c r="S385" s="645"/>
      <c r="T385" s="557">
        <v>46081</v>
      </c>
      <c r="U385" s="542">
        <f t="shared" si="55"/>
        <v>48909.763654880553</v>
      </c>
      <c r="V385" s="894"/>
      <c r="W385" s="608">
        <v>46112</v>
      </c>
      <c r="X385" s="888"/>
      <c r="Y385" s="507"/>
      <c r="Z385" s="879"/>
    </row>
    <row r="386" spans="2:77">
      <c r="B386" s="758"/>
      <c r="C386" s="759"/>
      <c r="D386" s="759"/>
      <c r="E386" s="760"/>
      <c r="F386" s="761"/>
      <c r="G386" s="762"/>
      <c r="H386" s="763"/>
      <c r="I386" s="879"/>
      <c r="J386" s="879"/>
      <c r="K386" s="278"/>
      <c r="L386" s="301">
        <v>15</v>
      </c>
      <c r="M386" s="381" t="s">
        <v>1194</v>
      </c>
      <c r="N386" s="303" t="s">
        <v>1203</v>
      </c>
      <c r="O386" s="304"/>
      <c r="P386" s="452"/>
      <c r="Q386" s="475">
        <v>35049.699999999997</v>
      </c>
      <c r="R386" s="1004"/>
      <c r="S386" s="645"/>
      <c r="T386" s="557">
        <v>46081</v>
      </c>
      <c r="U386" s="542">
        <f t="shared" si="55"/>
        <v>18633.397208418115</v>
      </c>
      <c r="V386" s="894"/>
      <c r="W386" s="608">
        <v>46112</v>
      </c>
      <c r="X386" s="888"/>
      <c r="Y386" s="507"/>
      <c r="Z386" s="879"/>
    </row>
    <row r="387" spans="2:77">
      <c r="B387" s="758"/>
      <c r="C387" s="759"/>
      <c r="D387" s="759"/>
      <c r="E387" s="760"/>
      <c r="F387" s="761"/>
      <c r="G387" s="762"/>
      <c r="H387" s="763"/>
      <c r="I387" s="879"/>
      <c r="J387" s="879"/>
      <c r="K387" s="278"/>
      <c r="L387" s="301">
        <v>15</v>
      </c>
      <c r="M387" s="381" t="s">
        <v>1194</v>
      </c>
      <c r="N387" s="303" t="s">
        <v>1204</v>
      </c>
      <c r="O387" s="304"/>
      <c r="P387" s="452"/>
      <c r="Q387" s="475">
        <v>204566.79</v>
      </c>
      <c r="R387" s="1004"/>
      <c r="S387" s="645"/>
      <c r="T387" s="557">
        <v>46081</v>
      </c>
      <c r="U387" s="542">
        <f t="shared" si="55"/>
        <v>108753.40598410415</v>
      </c>
      <c r="V387" s="894"/>
      <c r="W387" s="608">
        <v>46112</v>
      </c>
      <c r="X387" s="888"/>
      <c r="Y387" s="507"/>
      <c r="Z387" s="879"/>
    </row>
    <row r="388" spans="2:77">
      <c r="B388" s="758"/>
      <c r="C388" s="759"/>
      <c r="D388" s="759"/>
      <c r="E388" s="760"/>
      <c r="F388" s="761"/>
      <c r="G388" s="762"/>
      <c r="H388" s="763"/>
      <c r="I388" s="879"/>
      <c r="J388" s="879"/>
      <c r="K388" s="278"/>
      <c r="L388" s="301">
        <v>15</v>
      </c>
      <c r="M388" s="381" t="s">
        <v>1194</v>
      </c>
      <c r="N388" s="303" t="s">
        <v>1205</v>
      </c>
      <c r="O388" s="304"/>
      <c r="P388" s="452"/>
      <c r="Q388" s="475">
        <v>221934</v>
      </c>
      <c r="R388" s="1004"/>
      <c r="S388" s="645"/>
      <c r="T388" s="557">
        <v>46112</v>
      </c>
      <c r="U388" s="542">
        <f t="shared" si="55"/>
        <v>117986.2987715463</v>
      </c>
      <c r="V388" s="894"/>
      <c r="W388" s="608">
        <v>46112</v>
      </c>
      <c r="X388" s="888"/>
      <c r="Y388" s="507"/>
      <c r="Z388" s="879"/>
    </row>
    <row r="389" spans="2:77">
      <c r="B389" s="758"/>
      <c r="C389" s="759"/>
      <c r="D389" s="759"/>
      <c r="E389" s="760"/>
      <c r="F389" s="761"/>
      <c r="G389" s="762"/>
      <c r="H389" s="763"/>
      <c r="I389" s="879"/>
      <c r="J389" s="879"/>
      <c r="K389" s="278"/>
      <c r="L389" s="301">
        <v>15</v>
      </c>
      <c r="M389" s="381" t="s">
        <v>1194</v>
      </c>
      <c r="N389" s="303" t="s">
        <v>1206</v>
      </c>
      <c r="O389" s="304"/>
      <c r="P389" s="452"/>
      <c r="Q389" s="475">
        <v>178241.37</v>
      </c>
      <c r="R389" s="1004"/>
      <c r="S389" s="645"/>
      <c r="T389" s="557">
        <v>46142</v>
      </c>
      <c r="U389" s="542">
        <f t="shared" si="55"/>
        <v>94758.079132849089</v>
      </c>
      <c r="V389" s="894"/>
      <c r="W389" s="608">
        <v>46142</v>
      </c>
      <c r="X389" s="888"/>
      <c r="Y389" s="507"/>
      <c r="Z389" s="879"/>
    </row>
    <row r="390" spans="2:77">
      <c r="B390" s="758"/>
      <c r="C390" s="759"/>
      <c r="D390" s="759"/>
      <c r="E390" s="760"/>
      <c r="F390" s="761"/>
      <c r="G390" s="762"/>
      <c r="H390" s="763"/>
      <c r="I390" s="879"/>
      <c r="J390" s="879"/>
      <c r="K390" s="278"/>
      <c r="L390" s="301">
        <v>15</v>
      </c>
      <c r="M390" s="381" t="s">
        <v>1194</v>
      </c>
      <c r="N390" s="303" t="s">
        <v>1207</v>
      </c>
      <c r="O390" s="304"/>
      <c r="P390" s="452"/>
      <c r="Q390" s="475">
        <v>145837.76000000001</v>
      </c>
      <c r="R390" s="1004"/>
      <c r="S390" s="645"/>
      <c r="T390" s="557">
        <v>46173</v>
      </c>
      <c r="U390" s="542">
        <f t="shared" si="55"/>
        <v>77531.41710388253</v>
      </c>
      <c r="V390" s="894"/>
      <c r="W390" s="608">
        <v>46173</v>
      </c>
      <c r="X390" s="888"/>
      <c r="Y390" s="507"/>
      <c r="Z390" s="879"/>
    </row>
    <row r="391" spans="2:77">
      <c r="B391" s="758"/>
      <c r="C391" s="759"/>
      <c r="D391" s="759"/>
      <c r="E391" s="760"/>
      <c r="F391" s="761"/>
      <c r="G391" s="762"/>
      <c r="H391" s="763"/>
      <c r="I391" s="879"/>
      <c r="J391" s="879"/>
      <c r="K391" s="278"/>
      <c r="L391" s="301">
        <v>15</v>
      </c>
      <c r="M391" s="381" t="s">
        <v>1194</v>
      </c>
      <c r="N391" s="303" t="s">
        <v>1208</v>
      </c>
      <c r="O391" s="304"/>
      <c r="P391" s="452"/>
      <c r="Q391" s="475">
        <v>103599.12</v>
      </c>
      <c r="R391" s="1004"/>
      <c r="S391" s="645"/>
      <c r="T391" s="824">
        <v>46203</v>
      </c>
      <c r="U391" s="542">
        <f t="shared" si="55"/>
        <v>55076.17906580009</v>
      </c>
      <c r="V391" s="894"/>
      <c r="W391" s="608">
        <v>46203</v>
      </c>
      <c r="X391" s="888"/>
      <c r="Y391" s="507"/>
      <c r="Z391" s="879"/>
    </row>
    <row r="392" spans="2:77">
      <c r="B392" s="758"/>
      <c r="C392" s="759"/>
      <c r="D392" s="759"/>
      <c r="E392" s="760"/>
      <c r="F392" s="761"/>
      <c r="G392" s="762"/>
      <c r="H392" s="763"/>
      <c r="I392" s="879"/>
      <c r="J392" s="879"/>
      <c r="K392" s="278"/>
      <c r="L392" s="301">
        <v>15</v>
      </c>
      <c r="M392" s="381" t="s">
        <v>1194</v>
      </c>
      <c r="N392" s="303" t="s">
        <v>1209</v>
      </c>
      <c r="O392" s="399"/>
      <c r="P392" s="437"/>
      <c r="Q392" s="485">
        <v>67693.119999999995</v>
      </c>
      <c r="R392" s="1003"/>
      <c r="S392" s="646"/>
      <c r="T392" s="824">
        <v>46234</v>
      </c>
      <c r="U392" s="823">
        <f t="shared" si="55"/>
        <v>35987.548915885513</v>
      </c>
      <c r="V392" s="894"/>
      <c r="W392" s="608">
        <v>46234</v>
      </c>
      <c r="X392" s="888"/>
      <c r="Y392" s="507"/>
      <c r="Z392" s="879"/>
    </row>
    <row r="393" spans="2:77">
      <c r="B393" s="758"/>
      <c r="C393" s="759"/>
      <c r="D393" s="759"/>
      <c r="E393" s="760"/>
      <c r="F393" s="761"/>
      <c r="G393" s="762"/>
      <c r="H393" s="763"/>
      <c r="I393" s="879"/>
      <c r="J393" s="879"/>
      <c r="K393" s="278"/>
      <c r="L393" s="301">
        <v>15</v>
      </c>
      <c r="M393" s="381" t="s">
        <v>1194</v>
      </c>
      <c r="N393" s="303" t="s">
        <v>1210</v>
      </c>
      <c r="O393" s="399"/>
      <c r="P393" s="437"/>
      <c r="Q393" s="485">
        <v>27845.88</v>
      </c>
      <c r="R393" s="1003"/>
      <c r="S393" s="646"/>
      <c r="T393" s="824">
        <v>46265</v>
      </c>
      <c r="U393" s="823">
        <f t="shared" si="55"/>
        <v>14803.645756110493</v>
      </c>
      <c r="V393" s="894"/>
      <c r="W393" s="608">
        <v>46265</v>
      </c>
      <c r="X393" s="888"/>
      <c r="Y393" s="507"/>
      <c r="Z393" s="879"/>
    </row>
    <row r="394" spans="2:77">
      <c r="B394" s="758"/>
      <c r="C394" s="759"/>
      <c r="D394" s="759"/>
      <c r="E394" s="760"/>
      <c r="F394" s="761"/>
      <c r="G394" s="762"/>
      <c r="H394" s="763"/>
      <c r="I394" s="879"/>
      <c r="J394" s="879"/>
      <c r="K394" s="278"/>
      <c r="L394" s="301">
        <v>15</v>
      </c>
      <c r="M394" s="381" t="s">
        <v>1194</v>
      </c>
      <c r="N394" s="379"/>
      <c r="O394" s="399"/>
      <c r="P394" s="437"/>
      <c r="Q394" s="485"/>
      <c r="R394" s="1003"/>
      <c r="S394" s="646"/>
      <c r="T394" s="822"/>
      <c r="U394" s="542">
        <f t="shared" si="55"/>
        <v>0</v>
      </c>
      <c r="V394" s="894"/>
      <c r="W394" s="608"/>
      <c r="X394" s="888"/>
      <c r="Y394" s="507"/>
      <c r="Z394" s="879"/>
    </row>
    <row r="395" spans="2:77" ht="15" customHeight="1" thickBot="1">
      <c r="B395" s="306">
        <v>15</v>
      </c>
      <c r="C395" s="307"/>
      <c r="D395" s="307"/>
      <c r="E395" s="308"/>
      <c r="F395" s="453"/>
      <c r="G395" s="320"/>
      <c r="H395" s="695"/>
      <c r="I395" s="880"/>
      <c r="J395" s="880"/>
      <c r="K395" s="279"/>
      <c r="L395" s="306">
        <v>15</v>
      </c>
      <c r="M395" s="412" t="s">
        <v>1194</v>
      </c>
      <c r="N395" s="307"/>
      <c r="O395" s="308"/>
      <c r="P395" s="453"/>
      <c r="Q395" s="476"/>
      <c r="R395" s="1011"/>
      <c r="S395" s="647"/>
      <c r="T395" s="552" t="str">
        <f t="shared" si="53"/>
        <v/>
      </c>
      <c r="U395" s="536">
        <f>(Q395/$X$373*$J$373)</f>
        <v>0</v>
      </c>
      <c r="V395" s="895"/>
      <c r="W395" s="609"/>
      <c r="X395" s="889"/>
      <c r="Y395" s="470"/>
      <c r="Z395" s="880"/>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1211</v>
      </c>
      <c r="D397" s="170">
        <v>1424578.6111111115</v>
      </c>
      <c r="E397" s="156"/>
      <c r="F397" s="457"/>
      <c r="G397" s="111"/>
      <c r="H397" s="111"/>
      <c r="I397" s="111"/>
      <c r="J397" s="111"/>
      <c r="BY397" s="111"/>
    </row>
    <row r="398" spans="2:77">
      <c r="B398" s="111"/>
      <c r="C398" s="170" t="s">
        <v>1212</v>
      </c>
      <c r="D398" s="170">
        <v>311111.11111111112</v>
      </c>
      <c r="E398" s="156"/>
      <c r="F398" s="457"/>
      <c r="G398" s="111"/>
      <c r="H398" s="111"/>
      <c r="I398" s="246"/>
      <c r="J398" s="246"/>
      <c r="K398" s="246"/>
      <c r="BY398" s="111"/>
    </row>
    <row r="399" spans="2:77">
      <c r="B399" s="111"/>
      <c r="C399" s="170" t="s">
        <v>1213</v>
      </c>
      <c r="D399" s="170">
        <v>194541.66666666666</v>
      </c>
      <c r="E399" s="156"/>
      <c r="F399" s="457"/>
      <c r="G399" s="111"/>
      <c r="H399" s="111"/>
      <c r="I399" s="339"/>
      <c r="J399" s="339"/>
      <c r="K399" s="339"/>
      <c r="BY399" s="111"/>
    </row>
    <row r="400" spans="2:77">
      <c r="B400" s="111"/>
      <c r="C400" s="170" t="s">
        <v>989</v>
      </c>
      <c r="D400" s="170">
        <v>576677.22222222225</v>
      </c>
      <c r="E400" s="156"/>
      <c r="F400" s="457"/>
      <c r="G400" s="111"/>
      <c r="H400" s="111"/>
      <c r="I400" s="246"/>
      <c r="J400" s="246"/>
      <c r="K400" s="246"/>
      <c r="BY400" s="111"/>
    </row>
    <row r="401" spans="2:77">
      <c r="B401" s="111"/>
      <c r="C401" s="170" t="s">
        <v>1214</v>
      </c>
      <c r="D401" s="170">
        <v>521900.89855072461</v>
      </c>
      <c r="E401" s="156"/>
      <c r="F401" s="457"/>
      <c r="G401" s="111"/>
      <c r="H401" s="111"/>
      <c r="I401" s="339"/>
      <c r="J401" s="339"/>
      <c r="K401" s="339"/>
      <c r="BY401" s="111"/>
    </row>
    <row r="402" spans="2:77">
      <c r="B402" s="111"/>
      <c r="C402" s="170" t="s">
        <v>1215</v>
      </c>
      <c r="D402" s="170">
        <v>25555.555555555555</v>
      </c>
      <c r="E402" s="156"/>
      <c r="F402" s="457"/>
      <c r="G402" s="111"/>
      <c r="H402" s="111"/>
      <c r="I402" s="246"/>
      <c r="J402" s="246"/>
      <c r="K402" s="246"/>
      <c r="BY402" s="111"/>
    </row>
    <row r="403" spans="2:77">
      <c r="B403" s="111"/>
      <c r="C403" s="170" t="s">
        <v>1216</v>
      </c>
      <c r="D403" s="170">
        <v>0</v>
      </c>
      <c r="E403" s="156"/>
      <c r="F403" s="457"/>
      <c r="G403" s="111"/>
      <c r="H403" s="111"/>
      <c r="I403" s="246"/>
      <c r="J403" s="246"/>
      <c r="K403" s="246"/>
      <c r="BY403" s="111"/>
    </row>
    <row r="404" spans="2:77">
      <c r="B404" s="111"/>
      <c r="C404" s="170" t="s">
        <v>1217</v>
      </c>
      <c r="D404" s="170">
        <v>0</v>
      </c>
      <c r="E404" s="156"/>
      <c r="F404" s="457"/>
      <c r="G404" s="111"/>
      <c r="H404" s="111"/>
      <c r="I404" s="246"/>
      <c r="J404" s="246"/>
      <c r="K404" s="246"/>
      <c r="BY404" s="111"/>
    </row>
    <row r="405" spans="2:77">
      <c r="B405" s="111"/>
      <c r="C405" s="170" t="s">
        <v>1218</v>
      </c>
      <c r="D405" s="170">
        <v>190000</v>
      </c>
      <c r="E405" s="156"/>
      <c r="F405" s="457"/>
      <c r="G405" s="111"/>
      <c r="H405" s="111"/>
      <c r="I405" s="246"/>
      <c r="J405" s="246"/>
      <c r="K405" s="246"/>
      <c r="BY405" s="111"/>
    </row>
    <row r="406" spans="2:77">
      <c r="B406" s="111"/>
      <c r="C406" s="170" t="s">
        <v>1219</v>
      </c>
      <c r="D406" s="170">
        <v>0</v>
      </c>
      <c r="E406" s="156"/>
      <c r="F406" s="457"/>
      <c r="G406" s="111"/>
      <c r="H406" s="111"/>
      <c r="I406" s="246"/>
      <c r="J406" s="246"/>
      <c r="K406" s="246"/>
      <c r="BY406" s="111"/>
    </row>
    <row r="407" spans="2:77">
      <c r="B407" s="111"/>
      <c r="C407" s="170" t="s">
        <v>1220</v>
      </c>
      <c r="D407" s="170">
        <v>0</v>
      </c>
      <c r="E407" s="156"/>
      <c r="F407" s="457"/>
      <c r="G407" s="111"/>
      <c r="H407" s="111"/>
      <c r="I407" s="246"/>
      <c r="J407" s="246"/>
      <c r="K407" s="246"/>
      <c r="BY407" s="111"/>
    </row>
    <row r="408" spans="2:77">
      <c r="B408" s="111"/>
      <c r="C408" s="170" t="s">
        <v>1221</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1222</v>
      </c>
      <c r="D410" s="170">
        <v>147132.35294117648</v>
      </c>
      <c r="E410" s="156"/>
      <c r="F410" s="457"/>
      <c r="I410" s="246"/>
      <c r="J410" s="246"/>
      <c r="K410" s="246"/>
      <c r="R410" s="246"/>
    </row>
    <row r="411" spans="2:77" s="111" customFormat="1">
      <c r="C411" s="170" t="s">
        <v>1223</v>
      </c>
      <c r="D411" s="170">
        <v>340323.5294117647</v>
      </c>
      <c r="E411" s="156"/>
      <c r="F411" s="457"/>
      <c r="I411" s="246"/>
      <c r="J411" s="246"/>
      <c r="K411" s="246"/>
      <c r="R411" s="246"/>
    </row>
    <row r="412" spans="2:77" s="111" customFormat="1">
      <c r="C412" s="170" t="s">
        <v>1224</v>
      </c>
      <c r="D412" s="170">
        <v>160142.95419548749</v>
      </c>
      <c r="E412" s="156"/>
      <c r="F412" s="457"/>
      <c r="I412" s="246"/>
      <c r="J412" s="246"/>
      <c r="K412" s="246"/>
      <c r="R412" s="246"/>
    </row>
    <row r="413" spans="2:77" s="111" customFormat="1">
      <c r="C413" s="170" t="s">
        <v>1225</v>
      </c>
      <c r="D413" s="170">
        <v>38242.647058823532</v>
      </c>
      <c r="E413" s="156"/>
      <c r="F413" s="457"/>
      <c r="I413" s="246"/>
      <c r="J413" s="246"/>
      <c r="K413" s="246"/>
      <c r="R413" s="246"/>
    </row>
    <row r="414" spans="2:77" s="111" customFormat="1">
      <c r="C414" s="170" t="s">
        <v>1226</v>
      </c>
      <c r="D414" s="170">
        <v>10000</v>
      </c>
      <c r="E414" s="156"/>
      <c r="F414" s="457"/>
      <c r="I414" s="246"/>
      <c r="J414" s="246"/>
      <c r="K414" s="246"/>
      <c r="R414" s="246"/>
    </row>
    <row r="415" spans="2:77" s="111" customFormat="1">
      <c r="C415" s="170" t="s">
        <v>1227</v>
      </c>
      <c r="D415" s="170">
        <v>0</v>
      </c>
      <c r="E415" s="156"/>
      <c r="F415" s="457"/>
      <c r="I415" s="246"/>
      <c r="J415" s="246"/>
      <c r="R415" s="246"/>
    </row>
    <row r="416" spans="2:77" s="111" customFormat="1">
      <c r="C416" s="170" t="s">
        <v>1228</v>
      </c>
      <c r="D416" s="170">
        <v>7254.9019607843129</v>
      </c>
      <c r="E416" s="156"/>
      <c r="F416" s="457"/>
      <c r="I416" s="246"/>
      <c r="J416" s="246"/>
      <c r="R416" s="246"/>
    </row>
    <row r="417" spans="3:18" s="111" customFormat="1">
      <c r="C417" s="170" t="s">
        <v>1229</v>
      </c>
      <c r="D417" s="170">
        <v>0</v>
      </c>
      <c r="E417" s="156"/>
      <c r="F417" s="457"/>
      <c r="I417" s="246"/>
      <c r="J417" s="246"/>
      <c r="R417" s="246"/>
    </row>
    <row r="418" spans="3:18" s="111" customFormat="1">
      <c r="C418" s="170" t="s">
        <v>1230</v>
      </c>
      <c r="D418" s="170">
        <v>37205.882352941175</v>
      </c>
      <c r="E418" s="156"/>
      <c r="F418" s="457"/>
      <c r="I418" s="246"/>
      <c r="J418" s="246"/>
      <c r="R418" s="246"/>
    </row>
    <row r="419" spans="3:18" s="111" customFormat="1">
      <c r="C419" s="170" t="s">
        <v>1231</v>
      </c>
      <c r="D419" s="170">
        <v>0</v>
      </c>
      <c r="E419" s="156"/>
      <c r="F419" s="457"/>
      <c r="I419" s="246"/>
      <c r="J419" s="246"/>
      <c r="R419" s="246"/>
    </row>
    <row r="420" spans="3:18" s="111" customFormat="1">
      <c r="C420" s="170" t="s">
        <v>1218</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1232</v>
      </c>
      <c r="D422" s="170"/>
      <c r="E422" s="156"/>
      <c r="F422" s="457"/>
      <c r="I422" s="246"/>
      <c r="J422" s="246"/>
      <c r="R422" s="246"/>
    </row>
    <row r="423" spans="3:18" s="111" customFormat="1">
      <c r="C423" s="170" t="s">
        <v>1233</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R150:R153"/>
    <mergeCell ref="R155:R156"/>
    <mergeCell ref="I267:I315"/>
    <mergeCell ref="J267:J315"/>
    <mergeCell ref="X267:X315"/>
    <mergeCell ref="I317:I318"/>
    <mergeCell ref="J317:J318"/>
    <mergeCell ref="K317:K318"/>
    <mergeCell ref="X317:X318"/>
    <mergeCell ref="V267:V315"/>
    <mergeCell ref="R276:R293"/>
    <mergeCell ref="R294:R303"/>
    <mergeCell ref="R305:R30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Z218:Z265"/>
    <mergeCell ref="Z267:Z315"/>
    <mergeCell ref="Z317:Z318"/>
    <mergeCell ref="Z320:Z334"/>
    <mergeCell ref="Z180:Z21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1234</v>
      </c>
      <c r="B1" s="775">
        <v>750000</v>
      </c>
    </row>
    <row r="4" spans="1:3">
      <c r="A4" s="774" t="s">
        <v>1235</v>
      </c>
      <c r="B4" s="777">
        <f>$B$1*C4</f>
        <v>405000</v>
      </c>
      <c r="C4" s="776">
        <v>0.54</v>
      </c>
    </row>
    <row r="5" spans="1:3">
      <c r="A5" s="774" t="s">
        <v>1236</v>
      </c>
      <c r="B5" s="777">
        <f t="shared" ref="B5:B10" si="0">$B$1*C5</f>
        <v>67500</v>
      </c>
      <c r="C5" s="776">
        <v>0.09</v>
      </c>
    </row>
    <row r="6" spans="1:3">
      <c r="A6" s="774" t="s">
        <v>1237</v>
      </c>
      <c r="B6" s="777">
        <f t="shared" si="0"/>
        <v>67500</v>
      </c>
      <c r="C6" s="776">
        <v>0.09</v>
      </c>
    </row>
    <row r="7" spans="1:3">
      <c r="A7" s="774" t="s">
        <v>1238</v>
      </c>
      <c r="B7" s="777">
        <f t="shared" si="0"/>
        <v>37500</v>
      </c>
      <c r="C7" s="776">
        <v>0.05</v>
      </c>
    </row>
    <row r="8" spans="1:3">
      <c r="A8" s="774" t="s">
        <v>1239</v>
      </c>
      <c r="B8" s="777">
        <f t="shared" si="0"/>
        <v>30000</v>
      </c>
      <c r="C8" s="776">
        <v>0.04</v>
      </c>
    </row>
    <row r="9" spans="1:3">
      <c r="A9" s="774" t="s">
        <v>1240</v>
      </c>
      <c r="B9" s="777">
        <f t="shared" si="0"/>
        <v>67500</v>
      </c>
      <c r="C9" s="776">
        <v>0.09</v>
      </c>
    </row>
    <row r="10" spans="1:3">
      <c r="A10" s="774" t="s">
        <v>1241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1242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83" t="s">
        <v>907</v>
      </c>
      <c r="B2" s="184"/>
      <c r="C2" s="185" t="s">
        <v>933</v>
      </c>
      <c r="D2" s="185" t="s">
        <v>933</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84"/>
      <c r="B3" s="187" t="s">
        <v>833</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84"/>
      <c r="B4" s="187" t="s">
        <v>1243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984"/>
      <c r="B5" s="191" t="s">
        <v>834</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984"/>
      <c r="B6" s="191" t="s">
        <v>1244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84"/>
      <c r="B7" s="196" t="s">
        <v>1245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983" t="s">
        <v>830</v>
      </c>
      <c r="B8" s="184"/>
      <c r="C8" s="185" t="s">
        <v>933</v>
      </c>
      <c r="D8" s="185" t="s">
        <v>933</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84"/>
      <c r="B9" s="201" t="s">
        <v>1246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84"/>
      <c r="B10" s="201" t="s">
        <v>1247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84"/>
      <c r="B11" s="204" t="s">
        <v>1248</v>
      </c>
      <c r="C11" s="205">
        <f>'Revenue Tracking'!F5</f>
        <v>143590782.60257795</v>
      </c>
      <c r="D11" s="205">
        <f>SUM(F11:FD11)</f>
        <v>141890734.85257798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12276357.3310782</v>
      </c>
      <c r="BL11" s="206">
        <f>SUMIFS('Expenditure Breakdown'!$Q$6:$Q$403, 'Expenditure Breakdown'!$W$6:$W$403, "&gt;="&amp;BL1,'Expenditure Breakdown'!$W$6:$W$403, "&lt;"&amp;BM1)</f>
        <v>1354366.2</v>
      </c>
      <c r="BM11" s="206">
        <f>SUMIFS('Expenditure Breakdown'!$Q$6:$Q$403, 'Expenditure Breakdown'!$W$6:$W$403, "&gt;="&amp;BM1,'Expenditure Breakdown'!$W$6:$W$403, "&lt;"&amp;BN1)</f>
        <v>125000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3160371.6776000001</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9776164.8559999987</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629136.44999999995</v>
      </c>
      <c r="CB11" s="206">
        <f>SUMIFS('Expenditure Breakdown'!$Q$6:$Q$403, 'Expenditure Breakdown'!$W$6:$W$403, "&gt;="&amp;CB1,'Expenditure Breakdown'!$W$6:$W$403, "&lt;"&amp;CC1)</f>
        <v>7115806.7459999993</v>
      </c>
      <c r="CC11" s="206">
        <f>SUMIFS('Expenditure Breakdown'!$Q$6:$Q$403, 'Expenditure Breakdown'!$W$6:$W$403, "&gt;="&amp;CC1,'Expenditure Breakdown'!$W$6:$W$403, "&lt;"&amp;CD1)</f>
        <v>40133297.360454902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150000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11132530.339312769</v>
      </c>
      <c r="CM11" s="206">
        <f>SUMIFS('Expenditure Breakdown'!$Q$6:$Q$403, 'Expenditure Breakdown'!$W$6:$W$403, "&gt;="&amp;CM1,'Expenditure Breakdown'!$W$6:$W$403, "&lt;"&amp;CN1)</f>
        <v>613950</v>
      </c>
      <c r="CN11" s="206">
        <f>SUMIFS('Expenditure Breakdown'!$Q$6:$Q$403, 'Expenditure Breakdown'!$W$6:$W$403, "&gt;="&amp;CN1,'Expenditure Breakdown'!$W$6:$W$403, "&lt;"&amp;CO1)</f>
        <v>170220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1106560.925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984"/>
      <c r="B12" s="204" t="s">
        <v>1249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26958390.184073202</v>
      </c>
      <c r="BL12" s="206">
        <f t="shared" si="230"/>
        <v>28312756.384073202</v>
      </c>
      <c r="BM12" s="206">
        <f t="shared" si="230"/>
        <v>28437756.384073202</v>
      </c>
      <c r="BN12" s="206">
        <f t="shared" si="230"/>
        <v>28437756.384073202</v>
      </c>
      <c r="BO12" s="206">
        <f t="shared" si="230"/>
        <v>28437756.384073202</v>
      </c>
      <c r="BP12" s="206">
        <f t="shared" si="230"/>
        <v>31598128.061673202</v>
      </c>
      <c r="BQ12" s="206">
        <f t="shared" si="230"/>
        <v>32592326.261673201</v>
      </c>
      <c r="BR12" s="206">
        <f t="shared" si="230"/>
        <v>32592326.261673201</v>
      </c>
      <c r="BS12" s="206">
        <f t="shared" si="230"/>
        <v>32592326.261673201</v>
      </c>
      <c r="BT12" s="206">
        <f t="shared" si="230"/>
        <v>42368491.117673203</v>
      </c>
      <c r="BU12" s="206">
        <f t="shared" ref="BU12:DB12" si="231">BT12+BU11</f>
        <v>44592305.30919826</v>
      </c>
      <c r="BV12" s="206">
        <f t="shared" si="231"/>
        <v>44592305.30919826</v>
      </c>
      <c r="BW12" s="206">
        <f t="shared" si="231"/>
        <v>44942305.30919826</v>
      </c>
      <c r="BX12" s="206">
        <f t="shared" si="231"/>
        <v>69501489.761810273</v>
      </c>
      <c r="BY12" s="206">
        <f t="shared" si="231"/>
        <v>69921189.161810279</v>
      </c>
      <c r="BZ12" s="206">
        <f t="shared" si="231"/>
        <v>69921189.161810279</v>
      </c>
      <c r="CA12" s="206">
        <f t="shared" si="231"/>
        <v>70550325.611810282</v>
      </c>
      <c r="CB12" s="206">
        <f t="shared" si="231"/>
        <v>77666132.357810289</v>
      </c>
      <c r="CC12" s="206">
        <f t="shared" si="231"/>
        <v>117799429.71826519</v>
      </c>
      <c r="CD12" s="206">
        <f t="shared" si="231"/>
        <v>117909379.71826519</v>
      </c>
      <c r="CE12" s="206">
        <f t="shared" si="231"/>
        <v>117909379.71826519</v>
      </c>
      <c r="CF12" s="206">
        <f t="shared" si="231"/>
        <v>117909379.71826519</v>
      </c>
      <c r="CG12" s="206">
        <f t="shared" si="231"/>
        <v>126414463.06326519</v>
      </c>
      <c r="CH12" s="206">
        <f t="shared" si="231"/>
        <v>126594413.06326519</v>
      </c>
      <c r="CI12" s="206">
        <f t="shared" si="231"/>
        <v>126744413.06326519</v>
      </c>
      <c r="CJ12" s="206">
        <f t="shared" si="231"/>
        <v>127422055.06326519</v>
      </c>
      <c r="CK12" s="206">
        <f t="shared" si="231"/>
        <v>127448312.66326518</v>
      </c>
      <c r="CL12" s="206">
        <f t="shared" si="231"/>
        <v>138580843.00257796</v>
      </c>
      <c r="CM12" s="206">
        <f t="shared" si="231"/>
        <v>139194793.00257796</v>
      </c>
      <c r="CN12" s="206">
        <f t="shared" si="231"/>
        <v>139365013.00257796</v>
      </c>
      <c r="CO12" s="206">
        <f t="shared" si="231"/>
        <v>139365013.00257796</v>
      </c>
      <c r="CP12" s="206">
        <f t="shared" si="231"/>
        <v>140611673.92757797</v>
      </c>
      <c r="CQ12" s="206">
        <f t="shared" si="231"/>
        <v>140726673.92757797</v>
      </c>
      <c r="CR12" s="206">
        <f t="shared" si="231"/>
        <v>140726673.92757797</v>
      </c>
      <c r="CS12" s="206">
        <f t="shared" si="231"/>
        <v>140726673.92757797</v>
      </c>
      <c r="CT12" s="206">
        <f t="shared" si="231"/>
        <v>140784173.92757797</v>
      </c>
      <c r="CU12" s="206">
        <f t="shared" si="231"/>
        <v>140784173.92757797</v>
      </c>
      <c r="CV12" s="206">
        <f t="shared" si="231"/>
        <v>140784173.92757797</v>
      </c>
      <c r="CW12" s="206">
        <f t="shared" si="231"/>
        <v>140784173.92757797</v>
      </c>
      <c r="CX12" s="206">
        <f t="shared" si="231"/>
        <v>140784173.92757797</v>
      </c>
      <c r="CY12" s="206">
        <f t="shared" si="231"/>
        <v>140784173.92757797</v>
      </c>
      <c r="CZ12" s="206">
        <f t="shared" si="231"/>
        <v>140784173.92757797</v>
      </c>
      <c r="DA12" s="206">
        <f t="shared" si="231"/>
        <v>140784173.92757797</v>
      </c>
      <c r="DB12" s="206">
        <f t="shared" si="231"/>
        <v>140784173.92757797</v>
      </c>
      <c r="DC12" s="206">
        <f t="shared" ref="DC12" si="232">DB12+DC11</f>
        <v>140784173.92757797</v>
      </c>
      <c r="DD12" s="206">
        <f t="shared" ref="DD12" si="233">DC12+DD11</f>
        <v>140784173.92757797</v>
      </c>
      <c r="DE12" s="206">
        <f t="shared" ref="DE12" si="234">DD12+DE11</f>
        <v>140784173.92757797</v>
      </c>
      <c r="DF12" s="206">
        <f t="shared" ref="DF12" si="235">DE12+DF11</f>
        <v>140784173.92757797</v>
      </c>
      <c r="DG12" s="206">
        <f t="shared" ref="DG12" si="236">DF12+DG11</f>
        <v>140784173.92757797</v>
      </c>
      <c r="DH12" s="206">
        <f t="shared" ref="DH12" si="237">DG12+DH11</f>
        <v>140784173.92757797</v>
      </c>
      <c r="DI12" s="206">
        <f t="shared" ref="DI12" si="238">DH12+DI11</f>
        <v>140784173.92757797</v>
      </c>
      <c r="DJ12" s="206">
        <f t="shared" ref="DJ12" si="239">DI12+DJ11</f>
        <v>140784173.92757797</v>
      </c>
      <c r="DK12" s="206">
        <f t="shared" ref="DK12" si="240">DJ12+DK11</f>
        <v>140784173.92757797</v>
      </c>
      <c r="DL12" s="206">
        <f t="shared" ref="DL12" si="241">DK12+DL11</f>
        <v>140784173.92757797</v>
      </c>
      <c r="DM12" s="206">
        <f t="shared" ref="DM12" si="242">DL12+DM11</f>
        <v>140784173.92757797</v>
      </c>
      <c r="DN12" s="206">
        <f t="shared" ref="DN12" si="243">DM12+DN11</f>
        <v>140784173.92757797</v>
      </c>
      <c r="DO12" s="206">
        <f t="shared" ref="DO12" si="244">DN12+DO11</f>
        <v>140784173.92757797</v>
      </c>
      <c r="DP12" s="206">
        <f t="shared" ref="DP12" si="245">DO12+DP11</f>
        <v>140784173.92757797</v>
      </c>
      <c r="DQ12" s="206">
        <f t="shared" ref="DQ12" si="246">DP12+DQ11</f>
        <v>140784173.92757797</v>
      </c>
      <c r="DR12" s="206">
        <f t="shared" ref="DR12" si="247">DQ12+DR11</f>
        <v>140784173.92757797</v>
      </c>
      <c r="DS12" s="206">
        <f t="shared" ref="DS12" si="248">DR12+DS11</f>
        <v>140784173.92757797</v>
      </c>
      <c r="DT12" s="206">
        <f t="shared" ref="DT12" si="249">DS12+DT11</f>
        <v>140784173.92757797</v>
      </c>
      <c r="DU12" s="206">
        <f t="shared" ref="DU12" si="250">DT12+DU11</f>
        <v>140784173.92757797</v>
      </c>
      <c r="DV12" s="206">
        <f t="shared" ref="DV12" si="251">DU12+DV11</f>
        <v>140784173.92757797</v>
      </c>
      <c r="DW12" s="206">
        <f t="shared" ref="DW12" si="252">DV12+DW11</f>
        <v>140784173.92757797</v>
      </c>
      <c r="DX12" s="206">
        <f t="shared" ref="DX12" si="253">DW12+DX11</f>
        <v>140784173.92757797</v>
      </c>
      <c r="DY12" s="206">
        <f t="shared" ref="DY12" si="254">DX12+DY11</f>
        <v>140784173.92757797</v>
      </c>
      <c r="DZ12" s="206">
        <f t="shared" ref="DZ12" si="255">DY12+DZ11</f>
        <v>140784173.92757797</v>
      </c>
      <c r="EA12" s="206">
        <f t="shared" ref="EA12" si="256">DZ12+EA11</f>
        <v>140784173.92757797</v>
      </c>
      <c r="EB12" s="206">
        <f t="shared" ref="EB12" si="257">EA12+EB11</f>
        <v>140784173.92757797</v>
      </c>
      <c r="EC12" s="206">
        <f t="shared" ref="EC12" si="258">EB12+EC11</f>
        <v>140784173.92757797</v>
      </c>
      <c r="ED12" s="206">
        <f t="shared" ref="ED12" si="259">EC12+ED11</f>
        <v>140784173.92757797</v>
      </c>
      <c r="EE12" s="206">
        <f t="shared" ref="EE12" si="260">ED12+EE11</f>
        <v>140784173.92757797</v>
      </c>
      <c r="EF12" s="206">
        <f t="shared" ref="EF12" si="261">EE12+EF11</f>
        <v>140784173.92757797</v>
      </c>
      <c r="EG12" s="206">
        <f t="shared" ref="EG12" si="262">EF12+EG11</f>
        <v>140784173.92757797</v>
      </c>
      <c r="EH12" s="206">
        <f t="shared" ref="EH12" si="263">EG12+EH11</f>
        <v>140784173.92757797</v>
      </c>
      <c r="EI12" s="206">
        <f t="shared" ref="EI12" si="264">EH12+EI11</f>
        <v>140784173.92757797</v>
      </c>
      <c r="EJ12" s="206">
        <f t="shared" ref="EJ12" si="265">EI12+EJ11</f>
        <v>140784173.92757797</v>
      </c>
      <c r="EK12" s="206">
        <f t="shared" ref="EK12" si="266">EJ12+EK11</f>
        <v>140784173.92757797</v>
      </c>
      <c r="EL12" s="206">
        <f t="shared" ref="EL12" si="267">EK12+EL11</f>
        <v>141890734.85257798</v>
      </c>
      <c r="EM12" s="206">
        <f t="shared" ref="EM12" si="268">EL12+EM11</f>
        <v>141890734.85257798</v>
      </c>
      <c r="EN12" s="206">
        <f t="shared" ref="EN12" si="269">EM12+EN11</f>
        <v>141890734.85257798</v>
      </c>
      <c r="EO12" s="206">
        <f t="shared" ref="EO12" si="270">EN12+EO11</f>
        <v>141890734.85257798</v>
      </c>
      <c r="EP12" s="206">
        <f t="shared" ref="EP12" si="271">EO12+EP11</f>
        <v>141890734.85257798</v>
      </c>
      <c r="EQ12" s="206">
        <f t="shared" ref="EQ12" si="272">EP12+EQ11</f>
        <v>141890734.85257798</v>
      </c>
      <c r="ER12" s="206">
        <f t="shared" ref="ER12" si="273">EQ12+ER11</f>
        <v>141890734.85257798</v>
      </c>
      <c r="ES12" s="206">
        <f t="shared" ref="ES12" si="274">ER12+ES11</f>
        <v>141890734.85257798</v>
      </c>
      <c r="ET12" s="206">
        <f t="shared" ref="ET12" si="275">ES12+ET11</f>
        <v>141890734.85257798</v>
      </c>
      <c r="EU12" s="206">
        <f t="shared" ref="EU12" si="276">ET12+EU11</f>
        <v>141890734.85257798</v>
      </c>
      <c r="EV12" s="206">
        <f t="shared" ref="EV12" si="277">EU12+EV11</f>
        <v>141890734.85257798</v>
      </c>
      <c r="EW12" s="206">
        <f t="shared" ref="EW12" si="278">EV12+EW11</f>
        <v>141890734.85257798</v>
      </c>
      <c r="EX12" s="206">
        <f t="shared" ref="EX12" si="279">EW12+EX11</f>
        <v>141890734.85257798</v>
      </c>
      <c r="EY12" s="206">
        <f t="shared" ref="EY12" si="280">EX12+EY11</f>
        <v>141890734.85257798</v>
      </c>
      <c r="EZ12" s="206">
        <f t="shared" ref="EZ12" si="281">EY12+EZ11</f>
        <v>141890734.85257798</v>
      </c>
      <c r="FA12" s="206">
        <f t="shared" ref="FA12" si="282">EZ12+FA11</f>
        <v>141890734.85257798</v>
      </c>
      <c r="FB12" s="206">
        <f t="shared" ref="FB12" si="283">FA12+FB11</f>
        <v>141890734.85257798</v>
      </c>
      <c r="FC12" s="206">
        <f t="shared" ref="FC12" si="284">FB12+FC11</f>
        <v>141890734.85257798</v>
      </c>
      <c r="FD12" s="206">
        <f t="shared" ref="FD12" si="285">FC12+FD11</f>
        <v>141890734.85257798</v>
      </c>
      <c r="FE12" s="183"/>
      <c r="FF12" s="194"/>
    </row>
    <row r="13" spans="1:638" s="183" customFormat="1" ht="15" customHeight="1">
      <c r="A13" s="984"/>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84"/>
      <c r="B14" s="196" t="s">
        <v>1250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-26958390.184073202</v>
      </c>
      <c r="BL14" s="199">
        <f t="shared" si="287"/>
        <v>-28312756.384073202</v>
      </c>
      <c r="BM14" s="199">
        <f t="shared" si="287"/>
        <v>-28437756.384073202</v>
      </c>
      <c r="BN14" s="199">
        <f t="shared" si="287"/>
        <v>-28437756.384073202</v>
      </c>
      <c r="BO14" s="199">
        <f t="shared" si="287"/>
        <v>-28437756.384073202</v>
      </c>
      <c r="BP14" s="199">
        <f t="shared" si="287"/>
        <v>-31598128.061673202</v>
      </c>
      <c r="BQ14" s="199">
        <f t="shared" si="287"/>
        <v>-32592326.261673201</v>
      </c>
      <c r="BR14" s="199">
        <f t="shared" si="287"/>
        <v>-32592326.261673201</v>
      </c>
      <c r="BS14" s="199">
        <f t="shared" si="287"/>
        <v>-32592326.261673201</v>
      </c>
      <c r="BT14" s="199">
        <f t="shared" si="287"/>
        <v>3131508.8823267967</v>
      </c>
      <c r="BU14" s="199">
        <f t="shared" ref="BU14:DB14" si="288">BU10-BU12</f>
        <v>907694.69080173969</v>
      </c>
      <c r="BV14" s="199">
        <f t="shared" si="288"/>
        <v>907694.69080173969</v>
      </c>
      <c r="BW14" s="199">
        <f t="shared" si="288"/>
        <v>557694.69080173969</v>
      </c>
      <c r="BX14" s="199">
        <f t="shared" si="288"/>
        <v>-20001489.761810273</v>
      </c>
      <c r="BY14" s="199">
        <f t="shared" si="288"/>
        <v>-20421189.161810279</v>
      </c>
      <c r="BZ14" s="199">
        <f t="shared" si="288"/>
        <v>-5421189.1618102789</v>
      </c>
      <c r="CA14" s="199">
        <f t="shared" si="288"/>
        <v>-6050325.6118102819</v>
      </c>
      <c r="CB14" s="199">
        <f t="shared" si="288"/>
        <v>733867.64218971133</v>
      </c>
      <c r="CC14" s="199">
        <f t="shared" si="288"/>
        <v>-23399429.718265191</v>
      </c>
      <c r="CD14" s="199">
        <f t="shared" si="288"/>
        <v>-23509379.718265191</v>
      </c>
      <c r="CE14" s="199">
        <f t="shared" si="288"/>
        <v>-23509379.718265191</v>
      </c>
      <c r="CF14" s="199">
        <f t="shared" si="288"/>
        <v>-23509379.718265191</v>
      </c>
      <c r="CG14" s="199">
        <f t="shared" si="288"/>
        <v>-23014463.06326519</v>
      </c>
      <c r="CH14" s="199">
        <f t="shared" si="288"/>
        <v>-23194413.06326519</v>
      </c>
      <c r="CI14" s="199">
        <f t="shared" si="288"/>
        <v>-16344413.06326519</v>
      </c>
      <c r="CJ14" s="199">
        <f t="shared" si="288"/>
        <v>-17022055.06326519</v>
      </c>
      <c r="CK14" s="199">
        <f t="shared" si="288"/>
        <v>-9548312.6632651836</v>
      </c>
      <c r="CL14" s="199">
        <f t="shared" si="288"/>
        <v>-20680843.00257796</v>
      </c>
      <c r="CM14" s="199">
        <f t="shared" si="288"/>
        <v>-15794793.00257796</v>
      </c>
      <c r="CN14" s="199">
        <f t="shared" si="288"/>
        <v>-15965013.00257796</v>
      </c>
      <c r="CO14" s="199">
        <f t="shared" si="288"/>
        <v>-4465013.0025779605</v>
      </c>
      <c r="CP14" s="199">
        <f t="shared" si="288"/>
        <v>-5711673.9275779724</v>
      </c>
      <c r="CQ14" s="199">
        <f t="shared" si="288"/>
        <v>-4326673.9275779724</v>
      </c>
      <c r="CR14" s="199">
        <f t="shared" si="288"/>
        <v>-4326673.9275779724</v>
      </c>
      <c r="CS14" s="199">
        <f t="shared" si="288"/>
        <v>-4326673.9275779724</v>
      </c>
      <c r="CT14" s="199">
        <f t="shared" si="288"/>
        <v>-4384173.9275779724</v>
      </c>
      <c r="CU14" s="199">
        <f t="shared" si="288"/>
        <v>-4384173.9275779724</v>
      </c>
      <c r="CV14" s="199">
        <f t="shared" si="288"/>
        <v>-4384173.9275779724</v>
      </c>
      <c r="CW14" s="199">
        <f t="shared" si="288"/>
        <v>-4384173.9275779724</v>
      </c>
      <c r="CX14" s="199">
        <f t="shared" si="288"/>
        <v>-4384173.9275779724</v>
      </c>
      <c r="CY14" s="199">
        <f t="shared" si="288"/>
        <v>-4384173.9275779724</v>
      </c>
      <c r="CZ14" s="199">
        <f t="shared" si="288"/>
        <v>-4384173.9275779724</v>
      </c>
      <c r="DA14" s="199">
        <f t="shared" si="288"/>
        <v>-4384173.9275779724</v>
      </c>
      <c r="DB14" s="199">
        <f t="shared" si="288"/>
        <v>-4384173.9275779724</v>
      </c>
      <c r="DC14" s="199">
        <f t="shared" ref="DC14:DD14" si="289">DC10-DC12</f>
        <v>-4384173.9275779724</v>
      </c>
      <c r="DD14" s="199">
        <f t="shared" si="289"/>
        <v>-4384173.9275779724</v>
      </c>
      <c r="DE14" s="199">
        <f t="shared" ref="DE14:EE14" si="290">DE10-DE12</f>
        <v>-4384173.9275779724</v>
      </c>
      <c r="DF14" s="199">
        <f t="shared" si="290"/>
        <v>-4384173.9275779724</v>
      </c>
      <c r="DG14" s="199">
        <f t="shared" si="290"/>
        <v>-4384173.9275779724</v>
      </c>
      <c r="DH14" s="199">
        <f t="shared" si="290"/>
        <v>-4384173.9275779724</v>
      </c>
      <c r="DI14" s="199">
        <f t="shared" si="290"/>
        <v>-4384173.9275779724</v>
      </c>
      <c r="DJ14" s="199">
        <f t="shared" si="290"/>
        <v>-4384173.9275779724</v>
      </c>
      <c r="DK14" s="199">
        <f t="shared" si="290"/>
        <v>-4384173.9275779724</v>
      </c>
      <c r="DL14" s="199">
        <f t="shared" si="290"/>
        <v>-4384173.9275779724</v>
      </c>
      <c r="DM14" s="199">
        <f t="shared" si="290"/>
        <v>-4384173.9275779724</v>
      </c>
      <c r="DN14" s="199">
        <f t="shared" si="290"/>
        <v>-4384173.9275779724</v>
      </c>
      <c r="DO14" s="199">
        <f t="shared" si="290"/>
        <v>-4384173.9275779724</v>
      </c>
      <c r="DP14" s="199">
        <f t="shared" si="290"/>
        <v>-4384173.9275779724</v>
      </c>
      <c r="DQ14" s="199">
        <f t="shared" si="290"/>
        <v>-4384173.9275779724</v>
      </c>
      <c r="DR14" s="199">
        <f t="shared" si="290"/>
        <v>-4384173.9275779724</v>
      </c>
      <c r="DS14" s="199">
        <f t="shared" si="290"/>
        <v>-4384173.9275779724</v>
      </c>
      <c r="DT14" s="199">
        <f t="shared" si="290"/>
        <v>-4384173.9275779724</v>
      </c>
      <c r="DU14" s="199">
        <f t="shared" si="290"/>
        <v>-4384173.9275779724</v>
      </c>
      <c r="DV14" s="199">
        <f t="shared" si="290"/>
        <v>-4384173.9275779724</v>
      </c>
      <c r="DW14" s="199">
        <f t="shared" si="290"/>
        <v>-4384173.9275779724</v>
      </c>
      <c r="DX14" s="199">
        <f t="shared" si="290"/>
        <v>-4384173.9275779724</v>
      </c>
      <c r="DY14" s="199">
        <f t="shared" si="290"/>
        <v>-4384173.9275779724</v>
      </c>
      <c r="DZ14" s="199">
        <f t="shared" si="290"/>
        <v>-4384173.9275779724</v>
      </c>
      <c r="EA14" s="199">
        <f t="shared" si="290"/>
        <v>-4384173.9275779724</v>
      </c>
      <c r="EB14" s="199">
        <f t="shared" si="290"/>
        <v>-4384173.9275779724</v>
      </c>
      <c r="EC14" s="199">
        <f t="shared" si="290"/>
        <v>-4384173.9275779724</v>
      </c>
      <c r="ED14" s="199">
        <f t="shared" si="290"/>
        <v>-4384173.9275779724</v>
      </c>
      <c r="EE14" s="199">
        <f t="shared" si="290"/>
        <v>-4384173.9275779724</v>
      </c>
      <c r="EF14" s="199">
        <f t="shared" ref="EF14:FD14" si="291">EF10-EF12</f>
        <v>-4384173.9275779724</v>
      </c>
      <c r="EG14" s="199">
        <f t="shared" si="291"/>
        <v>-4384173.9275779724</v>
      </c>
      <c r="EH14" s="199">
        <f t="shared" si="291"/>
        <v>-4384173.9275779724</v>
      </c>
      <c r="EI14" s="199">
        <f t="shared" si="291"/>
        <v>-4384173.9275779724</v>
      </c>
      <c r="EJ14" s="199">
        <f t="shared" si="291"/>
        <v>-4384173.9275779724</v>
      </c>
      <c r="EK14" s="199">
        <f t="shared" si="291"/>
        <v>-4384173.9275779724</v>
      </c>
      <c r="EL14" s="199">
        <f t="shared" si="291"/>
        <v>-5490734.8525779843</v>
      </c>
      <c r="EM14" s="199">
        <f t="shared" si="291"/>
        <v>-5490734.8525779843</v>
      </c>
      <c r="EN14" s="199">
        <f t="shared" si="291"/>
        <v>-5490734.8525779843</v>
      </c>
      <c r="EO14" s="199">
        <f t="shared" si="291"/>
        <v>-5490734.8525779843</v>
      </c>
      <c r="EP14" s="199">
        <f t="shared" si="291"/>
        <v>-5490734.8525779843</v>
      </c>
      <c r="EQ14" s="199">
        <f t="shared" si="291"/>
        <v>2591555.900191009</v>
      </c>
      <c r="ER14" s="199">
        <f t="shared" si="291"/>
        <v>2591555.900191009</v>
      </c>
      <c r="ES14" s="199">
        <f t="shared" si="291"/>
        <v>2591555.900191009</v>
      </c>
      <c r="ET14" s="199">
        <f t="shared" si="291"/>
        <v>2591555.900191009</v>
      </c>
      <c r="EU14" s="199">
        <f t="shared" si="291"/>
        <v>2591555.900191009</v>
      </c>
      <c r="EV14" s="199">
        <f t="shared" si="291"/>
        <v>2591555.900191009</v>
      </c>
      <c r="EW14" s="199">
        <f t="shared" si="291"/>
        <v>2591555.900191009</v>
      </c>
      <c r="EX14" s="199">
        <f t="shared" si="291"/>
        <v>2591555.900191009</v>
      </c>
      <c r="EY14" s="199">
        <f t="shared" si="291"/>
        <v>2591555.900191009</v>
      </c>
      <c r="EZ14" s="199">
        <f t="shared" si="291"/>
        <v>2591555.900191009</v>
      </c>
      <c r="FA14" s="199">
        <f t="shared" si="291"/>
        <v>2591555.900191009</v>
      </c>
      <c r="FB14" s="199">
        <f t="shared" si="291"/>
        <v>2591555.900191009</v>
      </c>
      <c r="FC14" s="199">
        <f t="shared" si="291"/>
        <v>2591555.900191009</v>
      </c>
      <c r="FD14" s="199">
        <f t="shared" si="291"/>
        <v>2591555.900191009</v>
      </c>
    </row>
    <row r="15" spans="1:638" s="183" customFormat="1" ht="15" customHeight="1"/>
    <row r="16" spans="1:638" s="183" customFormat="1" ht="15" customHeight="1">
      <c r="C16" s="185" t="s">
        <v>933</v>
      </c>
      <c r="D16" s="185" t="s">
        <v>933</v>
      </c>
    </row>
    <row r="17" spans="1:160" ht="15" customHeight="1">
      <c r="A17" s="985"/>
      <c r="B17" s="187" t="s">
        <v>1251</v>
      </c>
      <c r="C17" s="365">
        <f>C3-D17</f>
        <v>2438672.503678441</v>
      </c>
      <c r="D17" s="188">
        <f>SUM(F17:DD17)</f>
        <v>142043618.24909055</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19492626.735705644</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3324922.4053588612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54450152.675518677</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34539542.776440635</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12069210.794509592</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7233216.4503953783</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10151862.172755418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732525.50461067352</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41531.387973032513</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985"/>
      <c r="B18" s="187" t="s">
        <v>1252</v>
      </c>
      <c r="C18" s="365">
        <f>D17-D18</f>
        <v>0</v>
      </c>
      <c r="D18" s="188">
        <f>MAX(F18:DD18)</f>
        <v>142043618.24909055</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19492626.735705644</v>
      </c>
      <c r="BL18" s="206">
        <f t="shared" si="292"/>
        <v>19492626.735705644</v>
      </c>
      <c r="BM18" s="206">
        <f t="shared" si="292"/>
        <v>19492626.735705644</v>
      </c>
      <c r="BN18" s="206">
        <f t="shared" si="292"/>
        <v>19492626.735705644</v>
      </c>
      <c r="BO18" s="206">
        <f t="shared" si="292"/>
        <v>19492626.735705644</v>
      </c>
      <c r="BP18" s="206">
        <f t="shared" si="292"/>
        <v>22817549.141064506</v>
      </c>
      <c r="BQ18" s="206">
        <f t="shared" si="292"/>
        <v>22817549.141064506</v>
      </c>
      <c r="BR18" s="206">
        <f t="shared" si="292"/>
        <v>22817549.141064506</v>
      </c>
      <c r="BS18" s="206">
        <f t="shared" si="292"/>
        <v>22817549.141064506</v>
      </c>
      <c r="BT18" s="206">
        <f t="shared" si="292"/>
        <v>77267701.816583186</v>
      </c>
      <c r="BU18" s="206">
        <f t="shared" ref="BU18:DB18" si="293">BT18+BU17</f>
        <v>77267701.816583186</v>
      </c>
      <c r="BV18" s="206">
        <f t="shared" si="293"/>
        <v>77267701.816583186</v>
      </c>
      <c r="BW18" s="206">
        <f t="shared" si="293"/>
        <v>77267701.816583186</v>
      </c>
      <c r="BX18" s="206">
        <f t="shared" si="293"/>
        <v>111807244.59302382</v>
      </c>
      <c r="BY18" s="206">
        <f t="shared" si="293"/>
        <v>111807244.59302382</v>
      </c>
      <c r="BZ18" s="206">
        <f t="shared" si="293"/>
        <v>111807244.59302382</v>
      </c>
      <c r="CA18" s="206">
        <f t="shared" si="293"/>
        <v>111807244.59302382</v>
      </c>
      <c r="CB18" s="206">
        <f t="shared" si="293"/>
        <v>111807244.59302382</v>
      </c>
      <c r="CC18" s="206">
        <f t="shared" si="293"/>
        <v>123876455.38753341</v>
      </c>
      <c r="CD18" s="206">
        <f t="shared" si="293"/>
        <v>123876455.38753341</v>
      </c>
      <c r="CE18" s="206">
        <f t="shared" si="293"/>
        <v>123876455.38753341</v>
      </c>
      <c r="CF18" s="206">
        <f t="shared" si="293"/>
        <v>123876455.38753341</v>
      </c>
      <c r="CG18" s="206">
        <f t="shared" si="293"/>
        <v>131109671.83792879</v>
      </c>
      <c r="CH18" s="206">
        <f t="shared" si="293"/>
        <v>131109671.83792879</v>
      </c>
      <c r="CI18" s="206">
        <f t="shared" si="293"/>
        <v>131109671.83792879</v>
      </c>
      <c r="CJ18" s="206">
        <f t="shared" si="293"/>
        <v>131109671.83792879</v>
      </c>
      <c r="CK18" s="206">
        <f t="shared" si="293"/>
        <v>131117699.18375142</v>
      </c>
      <c r="CL18" s="206">
        <f t="shared" si="293"/>
        <v>141269561.35650682</v>
      </c>
      <c r="CM18" s="206">
        <f t="shared" si="293"/>
        <v>141269561.35650682</v>
      </c>
      <c r="CN18" s="206">
        <f t="shared" si="293"/>
        <v>141269561.35650682</v>
      </c>
      <c r="CO18" s="206">
        <f t="shared" si="293"/>
        <v>141269561.35650682</v>
      </c>
      <c r="CP18" s="206">
        <f t="shared" si="293"/>
        <v>142002086.86111751</v>
      </c>
      <c r="CQ18" s="206">
        <f t="shared" si="293"/>
        <v>142002086.86111751</v>
      </c>
      <c r="CR18" s="206">
        <f t="shared" si="293"/>
        <v>142002086.86111751</v>
      </c>
      <c r="CS18" s="206">
        <f t="shared" si="293"/>
        <v>142002086.86111751</v>
      </c>
      <c r="CT18" s="206">
        <f t="shared" si="293"/>
        <v>142043618.24909055</v>
      </c>
      <c r="CU18" s="206">
        <f t="shared" si="293"/>
        <v>142043618.24909055</v>
      </c>
      <c r="CV18" s="206">
        <f t="shared" si="293"/>
        <v>142043618.24909055</v>
      </c>
      <c r="CW18" s="206">
        <f t="shared" si="293"/>
        <v>142043618.24909055</v>
      </c>
      <c r="CX18" s="206">
        <f t="shared" si="293"/>
        <v>142043618.24909055</v>
      </c>
      <c r="CY18" s="206">
        <f t="shared" si="293"/>
        <v>142043618.24909055</v>
      </c>
      <c r="CZ18" s="206">
        <f t="shared" si="293"/>
        <v>142043618.24909055</v>
      </c>
      <c r="DA18" s="206">
        <f t="shared" si="293"/>
        <v>142043618.24909055</v>
      </c>
      <c r="DB18" s="206">
        <f t="shared" si="293"/>
        <v>142043618.24909055</v>
      </c>
      <c r="DC18" s="206">
        <f t="shared" ref="DC18" si="294">DB18+DC17</f>
        <v>142043618.24909055</v>
      </c>
      <c r="DD18" s="206">
        <f t="shared" ref="DD18" si="295">DC18+DD17</f>
        <v>142043618.24909055</v>
      </c>
      <c r="DE18" s="206">
        <f t="shared" ref="DE18" si="296">DD18+DE17</f>
        <v>142043618.24909055</v>
      </c>
      <c r="DF18" s="206">
        <f t="shared" ref="DF18" si="297">DE18+DF17</f>
        <v>142043618.24909055</v>
      </c>
      <c r="DG18" s="206">
        <f t="shared" ref="DG18" si="298">DF18+DG17</f>
        <v>142043618.24909055</v>
      </c>
      <c r="DH18" s="206">
        <f t="shared" ref="DH18" si="299">DG18+DH17</f>
        <v>142043618.24909055</v>
      </c>
      <c r="DI18" s="206">
        <f t="shared" ref="DI18" si="300">DH18+DI17</f>
        <v>142043618.24909055</v>
      </c>
      <c r="DJ18" s="206">
        <f t="shared" ref="DJ18" si="301">DI18+DJ17</f>
        <v>142043618.24909055</v>
      </c>
      <c r="DK18" s="206">
        <f t="shared" ref="DK18" si="302">DJ18+DK17</f>
        <v>142043618.24909055</v>
      </c>
      <c r="DL18" s="206">
        <f t="shared" ref="DL18" si="303">DK18+DL17</f>
        <v>142043618.24909055</v>
      </c>
      <c r="DM18" s="206">
        <f t="shared" ref="DM18" si="304">DL18+DM17</f>
        <v>142043618.24909055</v>
      </c>
      <c r="DN18" s="206">
        <f t="shared" ref="DN18" si="305">DM18+DN17</f>
        <v>142043618.24909055</v>
      </c>
      <c r="DO18" s="206">
        <f t="shared" ref="DO18" si="306">DN18+DO17</f>
        <v>142043618.24909055</v>
      </c>
      <c r="DP18" s="206">
        <f t="shared" ref="DP18" si="307">DO18+DP17</f>
        <v>142043618.24909055</v>
      </c>
      <c r="DQ18" s="206">
        <f t="shared" ref="DQ18" si="308">DP18+DQ17</f>
        <v>142043618.24909055</v>
      </c>
      <c r="DR18" s="206">
        <f t="shared" ref="DR18" si="309">DQ18+DR17</f>
        <v>142043618.24909055</v>
      </c>
      <c r="DS18" s="206">
        <f t="shared" ref="DS18" si="310">DR18+DS17</f>
        <v>142043618.24909055</v>
      </c>
      <c r="DT18" s="206">
        <f t="shared" ref="DT18" si="311">DS18+DT17</f>
        <v>142043618.24909055</v>
      </c>
      <c r="DU18" s="206">
        <f t="shared" ref="DU18" si="312">DT18+DU17</f>
        <v>142043618.24909055</v>
      </c>
      <c r="DV18" s="206">
        <f t="shared" ref="DV18" si="313">DU18+DV17</f>
        <v>142043618.24909055</v>
      </c>
      <c r="DW18" s="206">
        <f t="shared" ref="DW18" si="314">DV18+DW17</f>
        <v>142043618.24909055</v>
      </c>
      <c r="DX18" s="206">
        <f t="shared" ref="DX18" si="315">DW18+DX17</f>
        <v>142043618.24909055</v>
      </c>
      <c r="DY18" s="206">
        <f t="shared" ref="DY18" si="316">DX18+DY17</f>
        <v>142043618.24909055</v>
      </c>
      <c r="DZ18" s="206">
        <f t="shared" ref="DZ18" si="317">DY18+DZ17</f>
        <v>142043618.24909055</v>
      </c>
      <c r="EA18" s="206">
        <f t="shared" ref="EA18" si="318">DZ18+EA17</f>
        <v>142043618.24909055</v>
      </c>
      <c r="EB18" s="206">
        <f t="shared" ref="EB18" si="319">EA18+EB17</f>
        <v>142043618.24909055</v>
      </c>
      <c r="EC18" s="206">
        <f t="shared" ref="EC18" si="320">EB18+EC17</f>
        <v>142043618.24909055</v>
      </c>
      <c r="ED18" s="206">
        <f t="shared" ref="ED18" si="321">EC18+ED17</f>
        <v>142043618.24909055</v>
      </c>
      <c r="EE18" s="206">
        <f t="shared" ref="EE18" si="322">ED18+EE17</f>
        <v>142043618.24909055</v>
      </c>
      <c r="EF18" s="206">
        <f t="shared" ref="EF18" si="323">EE18+EF17</f>
        <v>142043618.24909055</v>
      </c>
      <c r="EG18" s="206">
        <f t="shared" ref="EG18" si="324">EF18+EG17</f>
        <v>142043618.24909055</v>
      </c>
      <c r="EH18" s="206">
        <f t="shared" ref="EH18" si="325">EG18+EH17</f>
        <v>142043618.24909055</v>
      </c>
      <c r="EI18" s="206">
        <f t="shared" ref="EI18" si="326">EH18+EI17</f>
        <v>142043618.24909055</v>
      </c>
      <c r="EJ18" s="206">
        <f t="shared" ref="EJ18" si="327">EI18+EJ17</f>
        <v>142043618.24909055</v>
      </c>
      <c r="EK18" s="206">
        <f t="shared" ref="EK18" si="328">EJ18+EK17</f>
        <v>142043618.24909055</v>
      </c>
      <c r="EL18" s="206">
        <f t="shared" ref="EL18" si="329">EK18+EL17</f>
        <v>142043618.24909055</v>
      </c>
      <c r="EM18" s="206">
        <f t="shared" ref="EM18" si="330">EL18+EM17</f>
        <v>142043618.24909055</v>
      </c>
      <c r="EN18" s="206">
        <f t="shared" ref="EN18" si="331">EM18+EN17</f>
        <v>142043618.24909055</v>
      </c>
      <c r="EO18" s="206">
        <f t="shared" ref="EO18" si="332">EN18+EO17</f>
        <v>142043618.24909055</v>
      </c>
      <c r="EP18" s="206">
        <f t="shared" ref="EP18" si="333">EO18+EP17</f>
        <v>142043618.24909055</v>
      </c>
      <c r="EQ18" s="206">
        <f t="shared" ref="EQ18" si="334">EP18+EQ17</f>
        <v>142043618.24909055</v>
      </c>
      <c r="ER18" s="206">
        <f t="shared" ref="ER18" si="335">EQ18+ER17</f>
        <v>142043618.24909055</v>
      </c>
      <c r="ES18" s="206">
        <f t="shared" ref="ES18" si="336">ER18+ES17</f>
        <v>142043618.24909055</v>
      </c>
      <c r="ET18" s="206">
        <f t="shared" ref="ET18" si="337">ES18+ET17</f>
        <v>142043618.24909055</v>
      </c>
      <c r="EU18" s="206">
        <f t="shared" ref="EU18" si="338">ET18+EU17</f>
        <v>142043618.24909055</v>
      </c>
      <c r="EV18" s="206">
        <f t="shared" ref="EV18" si="339">EU18+EV17</f>
        <v>142043618.24909055</v>
      </c>
      <c r="EW18" s="206">
        <f t="shared" ref="EW18" si="340">EV18+EW17</f>
        <v>142043618.24909055</v>
      </c>
      <c r="EX18" s="206">
        <f t="shared" ref="EX18" si="341">EW18+EX17</f>
        <v>142043618.24909055</v>
      </c>
      <c r="EY18" s="206">
        <f t="shared" ref="EY18" si="342">EX18+EY17</f>
        <v>142043618.24909055</v>
      </c>
      <c r="EZ18" s="206">
        <f t="shared" ref="EZ18" si="343">EY18+EZ17</f>
        <v>142043618.24909055</v>
      </c>
      <c r="FA18" s="206">
        <f t="shared" ref="FA18" si="344">EZ18+FA17</f>
        <v>142043618.24909055</v>
      </c>
      <c r="FB18" s="206">
        <f t="shared" ref="FB18" si="345">FA18+FB17</f>
        <v>142043618.24909055</v>
      </c>
      <c r="FC18" s="206">
        <f t="shared" ref="FC18" si="346">FB18+FC17</f>
        <v>142043618.24909055</v>
      </c>
      <c r="FD18" s="206">
        <f t="shared" ref="FD18" si="347">FC18+FD17</f>
        <v>142043618.24909055</v>
      </c>
    </row>
    <row r="19" spans="1:160" s="183" customFormat="1" ht="15" customHeight="1"/>
    <row r="25" spans="1:160" ht="15" customHeight="1">
      <c r="D25" s="777">
        <f>D11-C11</f>
        <v>-1700047.7499999702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1253</v>
      </c>
      <c r="B3" s="439" t="s">
        <v>1254</v>
      </c>
      <c r="C3"/>
      <c r="D3"/>
      <c r="E3"/>
      <c r="F3"/>
      <c r="G3"/>
      <c r="H3"/>
      <c r="I3"/>
      <c r="J3"/>
      <c r="K3"/>
      <c r="L3"/>
      <c r="M3"/>
      <c r="N3"/>
      <c r="O3"/>
      <c r="P3"/>
      <c r="Q3"/>
      <c r="R3"/>
      <c r="S3"/>
      <c r="T3"/>
    </row>
    <row r="4" spans="1:20">
      <c r="A4" s="439" t="s">
        <v>1255</v>
      </c>
      <c r="B4" t="s">
        <v>1256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c r="T4"/>
    </row>
    <row r="5" spans="1:20">
      <c r="A5" s="440" t="s">
        <v>1256</v>
      </c>
      <c r="B5" s="361"/>
      <c r="C5" s="361"/>
      <c r="D5" s="361"/>
      <c r="E5" s="361"/>
      <c r="F5" s="361"/>
      <c r="G5" s="361"/>
      <c r="H5" s="361"/>
      <c r="I5" s="361"/>
      <c r="J5" s="361"/>
      <c r="K5" s="361"/>
      <c r="L5" s="361"/>
      <c r="M5" s="361"/>
      <c r="N5" s="361"/>
      <c r="O5" s="361"/>
      <c r="P5" s="361"/>
      <c r="Q5" s="361"/>
      <c r="R5" s="361"/>
      <c r="S5" s="361"/>
      <c r="T5"/>
    </row>
    <row r="6" spans="1:20">
      <c r="A6" s="440" t="s">
        <v>937</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953</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969</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987</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1005</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1013</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1042</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1073</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1077</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1107</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1142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1037</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1139</v>
      </c>
      <c r="B20" s="361"/>
      <c r="C20" s="361"/>
      <c r="D20" s="361"/>
      <c r="E20" s="361"/>
      <c r="F20" s="361"/>
      <c r="G20" s="361"/>
      <c r="H20" s="361"/>
      <c r="I20" s="361"/>
      <c r="J20" s="361"/>
      <c r="K20" s="361"/>
      <c r="L20" s="361"/>
      <c r="M20" s="361"/>
      <c r="N20" s="361"/>
      <c r="O20" s="361"/>
      <c r="P20" s="361"/>
      <c r="Q20" s="361"/>
      <c r="R20" s="361"/>
      <c r="S20" s="361"/>
      <c r="T20"/>
    </row>
    <row r="21" spans="1:20">
      <c r="A21" s="440" t="s">
        <v>1257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1258</v>
      </c>
      <c r="B3" s="439" t="s">
        <v>1254</v>
      </c>
      <c r="C3"/>
      <c r="D3"/>
      <c r="E3"/>
      <c r="F3"/>
      <c r="G3"/>
      <c r="H3"/>
      <c r="I3"/>
    </row>
    <row r="4" spans="1:19">
      <c r="A4" s="439" t="s">
        <v>1255</v>
      </c>
      <c r="B4" t="s">
        <v>1256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row>
    <row r="5" spans="1:19">
      <c r="A5" s="440" t="s">
        <v>1256</v>
      </c>
      <c r="B5" s="442"/>
      <c r="C5" s="442"/>
      <c r="D5" s="442"/>
      <c r="E5" s="442"/>
      <c r="F5" s="442"/>
      <c r="G5" s="442"/>
      <c r="H5" s="442"/>
      <c r="I5" s="442"/>
      <c r="J5" s="442"/>
      <c r="K5" s="442"/>
      <c r="L5" s="442"/>
      <c r="M5" s="442"/>
      <c r="N5" s="442"/>
      <c r="O5" s="442"/>
      <c r="P5" s="442"/>
      <c r="Q5" s="442"/>
      <c r="R5" s="442"/>
      <c r="S5" s="442"/>
    </row>
    <row r="6" spans="1:19">
      <c r="A6" s="440" t="s">
        <v>937</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953</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969</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987</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1005</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1013</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1042</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1073</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1077</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1107</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1142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1037</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1139</v>
      </c>
      <c r="B20" s="442"/>
      <c r="C20" s="442"/>
      <c r="D20" s="442"/>
      <c r="E20" s="442"/>
      <c r="F20" s="442"/>
      <c r="G20" s="442"/>
      <c r="H20" s="442"/>
      <c r="I20" s="442"/>
      <c r="J20" s="442"/>
      <c r="K20" s="442"/>
      <c r="L20" s="442"/>
      <c r="M20" s="442"/>
      <c r="N20" s="442"/>
      <c r="O20" s="442"/>
      <c r="P20" s="442"/>
      <c r="Q20" s="442"/>
      <c r="R20" s="442"/>
      <c r="S20" s="442"/>
    </row>
    <row r="21" spans="1:19">
      <c r="A21" s="440" t="s">
        <v>1257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1259</v>
      </c>
    </row>
    <row r="2" spans="1:4">
      <c r="A2" s="987"/>
      <c r="B2" s="987"/>
      <c r="C2" s="987"/>
      <c r="D2" s="71"/>
    </row>
    <row r="3" spans="1:4">
      <c r="A3" s="986" t="s">
        <v>1260</v>
      </c>
      <c r="B3" s="986"/>
      <c r="C3" s="986"/>
      <c r="D3" s="110">
        <v>0.32</v>
      </c>
    </row>
    <row r="4" spans="1:4">
      <c r="A4" s="986" t="s">
        <v>1221</v>
      </c>
      <c r="B4" s="986"/>
      <c r="C4" s="986"/>
      <c r="D4" s="110">
        <v>0.5</v>
      </c>
    </row>
    <row r="5" spans="1:4">
      <c r="A5" s="986" t="s">
        <v>1232</v>
      </c>
      <c r="B5" s="986"/>
      <c r="C5" s="986"/>
      <c r="D5" s="110">
        <v>0.15</v>
      </c>
    </row>
    <row r="6" spans="1:4">
      <c r="A6" s="986" t="s">
        <v>1261</v>
      </c>
      <c r="B6" s="986"/>
      <c r="C6" s="986"/>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88" t="s">
        <v>1262</v>
      </c>
      <c r="C2" s="988"/>
      <c r="D2" s="988"/>
      <c r="E2" s="988"/>
      <c r="F2" s="988"/>
      <c r="G2" s="988"/>
      <c r="H2" s="988"/>
      <c r="I2" s="988"/>
      <c r="J2" s="988"/>
      <c r="K2" s="988"/>
      <c r="L2" s="988"/>
      <c r="M2" s="988"/>
      <c r="N2" s="988"/>
    </row>
    <row r="4" spans="2:14" ht="13">
      <c r="B4" s="91" t="s">
        <v>284</v>
      </c>
      <c r="C4" s="85"/>
      <c r="D4" s="89" t="s">
        <v>1234</v>
      </c>
      <c r="E4" s="94"/>
      <c r="F4" s="89" t="s">
        <v>1263</v>
      </c>
      <c r="H4" s="89" t="s">
        <v>1264</v>
      </c>
      <c r="I4" s="94"/>
      <c r="J4" s="89" t="s">
        <v>1265</v>
      </c>
      <c r="L4" s="89" t="s">
        <v>1264</v>
      </c>
      <c r="M4" s="89"/>
      <c r="N4" s="89" t="s">
        <v>1266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1267</v>
      </c>
      <c r="H7" s="98"/>
      <c r="I7" s="94"/>
      <c r="J7" s="106" t="s">
        <v>1267</v>
      </c>
      <c r="L7" s="98"/>
      <c r="M7" s="98"/>
    </row>
    <row r="8" spans="2:14" ht="6" customHeight="1">
      <c r="B8" s="85"/>
      <c r="C8" s="85"/>
      <c r="D8" s="88"/>
      <c r="E8" s="94"/>
      <c r="F8" s="88"/>
      <c r="H8" s="98"/>
      <c r="I8" s="94"/>
      <c r="J8" s="88"/>
      <c r="L8" s="98"/>
      <c r="M8" s="98"/>
    </row>
    <row r="9" spans="2:14" s="104" customFormat="1" ht="13">
      <c r="B9" s="91" t="s">
        <v>951</v>
      </c>
      <c r="C9" s="91"/>
      <c r="D9" s="89" t="e">
        <f>SUM(D10:D11)</f>
        <v>#REF!</v>
      </c>
      <c r="E9" s="94"/>
      <c r="F9" s="89">
        <f>SUM(F10:F13)</f>
        <v>0</v>
      </c>
      <c r="H9" s="105" t="e">
        <f>$D$9-F9</f>
        <v>#REF!</v>
      </c>
      <c r="I9" s="94"/>
      <c r="J9" s="89">
        <f>SUM(J10:J13)</f>
        <v>0</v>
      </c>
      <c r="L9" s="105" t="e">
        <f>$D$9-J9</f>
        <v>#REF!</v>
      </c>
      <c r="M9" s="105"/>
    </row>
    <row r="10" spans="2:14" ht="13">
      <c r="B10" s="107" t="s">
        <v>951</v>
      </c>
      <c r="C10" s="85"/>
      <c r="D10" s="88" t="e">
        <f>#REF!</f>
        <v>#REF!</v>
      </c>
      <c r="E10" s="94"/>
      <c r="F10" s="88"/>
      <c r="H10" s="98"/>
      <c r="I10" s="94"/>
      <c r="J10" s="88"/>
      <c r="L10" s="98"/>
      <c r="M10" s="98"/>
    </row>
    <row r="11" spans="2:14" ht="13">
      <c r="B11" s="107" t="s">
        <v>1268</v>
      </c>
      <c r="C11" s="85"/>
      <c r="D11" s="88" t="e">
        <f>#REF!</f>
        <v>#REF!</v>
      </c>
      <c r="E11" s="94"/>
      <c r="F11" s="88"/>
      <c r="H11" s="98"/>
      <c r="I11" s="94"/>
      <c r="J11" s="88"/>
      <c r="L11" s="98"/>
      <c r="M11" s="98"/>
    </row>
    <row r="12" spans="2:14" ht="13">
      <c r="B12" s="107" t="s">
        <v>1269</v>
      </c>
      <c r="C12" s="85"/>
      <c r="D12" s="88"/>
      <c r="E12" s="94"/>
      <c r="F12" s="88"/>
      <c r="H12" s="98"/>
      <c r="I12" s="94"/>
      <c r="J12" s="88"/>
      <c r="L12" s="98"/>
      <c r="M12" s="98"/>
    </row>
    <row r="13" spans="2:14" ht="13">
      <c r="B13" s="107" t="s">
        <v>1270</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1267</v>
      </c>
      <c r="H15" s="98"/>
      <c r="I15" s="94"/>
      <c r="J15" s="106" t="s">
        <v>1267</v>
      </c>
      <c r="L15" s="98"/>
      <c r="M15" s="98"/>
    </row>
    <row r="16" spans="2:14" ht="6" customHeight="1">
      <c r="B16" s="85"/>
      <c r="C16" s="85"/>
      <c r="D16" s="88"/>
      <c r="E16" s="94"/>
      <c r="F16" s="88"/>
      <c r="H16" s="98"/>
      <c r="I16" s="94"/>
      <c r="J16" s="88"/>
      <c r="L16" s="98"/>
      <c r="M16" s="98"/>
    </row>
    <row r="17" spans="2:13" s="104" customFormat="1" ht="13">
      <c r="B17" s="91" t="s">
        <v>1271</v>
      </c>
      <c r="C17" s="91"/>
      <c r="D17" s="89" t="e">
        <f>SUM(D18:D19)</f>
        <v>#REF!</v>
      </c>
      <c r="E17" s="94"/>
      <c r="F17" s="89">
        <f>SUM(F18:F20)</f>
        <v>0</v>
      </c>
      <c r="H17" s="105" t="e">
        <f>$D$17- F17</f>
        <v>#REF!</v>
      </c>
      <c r="I17" s="94"/>
      <c r="J17" s="89">
        <f>SUM(J18:J20)</f>
        <v>0</v>
      </c>
      <c r="L17" s="105" t="e">
        <f>$D$17- J17</f>
        <v>#REF!</v>
      </c>
      <c r="M17" s="105"/>
    </row>
    <row r="18" spans="2:13">
      <c r="B18" s="107" t="s">
        <v>1271</v>
      </c>
      <c r="C18" s="85"/>
      <c r="D18" s="88" t="e">
        <f>#REF!</f>
        <v>#REF!</v>
      </c>
      <c r="E18" s="97"/>
      <c r="F18" s="88"/>
      <c r="H18" s="98"/>
      <c r="I18" s="97"/>
      <c r="J18" s="88"/>
      <c r="L18" s="98"/>
      <c r="M18" s="98"/>
    </row>
    <row r="19" spans="2:13">
      <c r="B19" s="107" t="s">
        <v>1270</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1267</v>
      </c>
      <c r="H21" s="98"/>
      <c r="I21" s="94"/>
      <c r="J21" s="106" t="s">
        <v>1267</v>
      </c>
      <c r="L21" s="98"/>
      <c r="M21" s="98"/>
    </row>
    <row r="22" spans="2:13" ht="6" customHeight="1">
      <c r="B22" s="85"/>
      <c r="C22" s="85"/>
      <c r="D22" s="88"/>
      <c r="E22" s="94"/>
      <c r="F22" s="88"/>
      <c r="H22" s="98"/>
      <c r="I22" s="94"/>
      <c r="J22" s="88"/>
      <c r="L22" s="98"/>
      <c r="M22" s="98"/>
    </row>
    <row r="23" spans="2:13" s="104" customFormat="1" ht="13">
      <c r="B23" s="91" t="s">
        <v>1272</v>
      </c>
      <c r="C23" s="91"/>
      <c r="D23" s="89" t="e">
        <f>SUM(D24:D25)</f>
        <v>#REF!</v>
      </c>
      <c r="E23" s="94"/>
      <c r="F23" s="89">
        <f>SUM(F24:F25)</f>
        <v>0</v>
      </c>
      <c r="H23" s="105" t="e">
        <f>$D$23- F23</f>
        <v>#REF!</v>
      </c>
      <c r="I23" s="94"/>
      <c r="J23" s="89">
        <f>SUM(J24:J25)</f>
        <v>0</v>
      </c>
      <c r="L23" s="105" t="e">
        <f>$D$23- J23</f>
        <v>#REF!</v>
      </c>
      <c r="M23" s="105"/>
    </row>
    <row r="24" spans="2:13">
      <c r="B24" s="107" t="s">
        <v>1272</v>
      </c>
      <c r="C24" s="85"/>
      <c r="D24" s="88" t="e">
        <f>#REF!</f>
        <v>#REF!</v>
      </c>
      <c r="E24" s="97"/>
      <c r="F24" s="88"/>
      <c r="H24" s="98"/>
      <c r="I24" s="97"/>
      <c r="J24" s="88"/>
      <c r="L24" s="98"/>
      <c r="M24" s="98"/>
    </row>
    <row r="25" spans="2:13" s="104" customFormat="1" ht="13">
      <c r="B25" s="107" t="s">
        <v>1270</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1267</v>
      </c>
      <c r="H27" s="98"/>
      <c r="I27" s="94"/>
      <c r="J27" s="106" t="s">
        <v>1267</v>
      </c>
      <c r="L27" s="98"/>
      <c r="M27" s="98"/>
    </row>
    <row r="28" spans="2:13" ht="6" customHeight="1">
      <c r="B28" s="85"/>
      <c r="C28" s="85"/>
      <c r="D28" s="88"/>
      <c r="E28" s="94"/>
      <c r="F28" s="88"/>
      <c r="H28" s="98"/>
      <c r="I28" s="94"/>
      <c r="J28" s="88"/>
      <c r="L28" s="98"/>
      <c r="M28" s="98"/>
    </row>
    <row r="29" spans="2:13" s="104" customFormat="1" ht="13">
      <c r="B29" s="91" t="s">
        <v>1273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1270</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1267</v>
      </c>
      <c r="H34" s="98"/>
      <c r="I34" s="94"/>
      <c r="J34" s="106" t="s">
        <v>1267</v>
      </c>
      <c r="L34" s="98"/>
      <c r="M34" s="98"/>
    </row>
    <row r="35" spans="2:13" ht="13">
      <c r="B35" s="85"/>
      <c r="C35" s="85"/>
      <c r="D35" s="88"/>
      <c r="E35" s="94"/>
      <c r="F35" s="88"/>
      <c r="H35" s="98"/>
      <c r="I35" s="94"/>
      <c r="J35" s="88"/>
      <c r="L35" s="98"/>
      <c r="M35" s="98"/>
    </row>
    <row r="36" spans="2:13" s="104" customFormat="1" ht="13">
      <c r="B36" s="91" t="s">
        <v>1274</v>
      </c>
      <c r="C36" s="91"/>
      <c r="D36" s="89" t="e">
        <f>SUM(D37:D41)</f>
        <v>#REF!</v>
      </c>
      <c r="E36" s="94"/>
      <c r="F36" s="89">
        <f>SUM(F37:F41)</f>
        <v>0</v>
      </c>
      <c r="H36" s="105" t="e">
        <f>$D$29-F36</f>
        <v>#REF!</v>
      </c>
      <c r="I36" s="94"/>
      <c r="J36" s="89">
        <f>SUM(J37:J41)</f>
        <v>0</v>
      </c>
      <c r="L36" s="105" t="e">
        <f>$D$29-J36</f>
        <v>#REF!</v>
      </c>
      <c r="M36" s="105"/>
    </row>
    <row r="37" spans="2:13">
      <c r="B37" s="107" t="s">
        <v>1275</v>
      </c>
      <c r="C37" s="85"/>
      <c r="D37" s="88" t="e">
        <f>#REF!</f>
        <v>#REF!</v>
      </c>
      <c r="E37" s="97"/>
      <c r="F37" s="88"/>
      <c r="H37" s="98"/>
      <c r="I37" s="97"/>
      <c r="J37" s="88"/>
      <c r="L37" s="98"/>
      <c r="M37" s="98"/>
    </row>
    <row r="38" spans="2:13">
      <c r="B38" s="107" t="s">
        <v>1276</v>
      </c>
      <c r="C38" s="85"/>
      <c r="D38" s="88"/>
      <c r="E38" s="97"/>
      <c r="F38" s="88"/>
      <c r="H38" s="98"/>
      <c r="I38" s="97"/>
      <c r="J38" s="88"/>
      <c r="L38" s="98"/>
      <c r="M38" s="98"/>
    </row>
    <row r="39" spans="2:13">
      <c r="B39" s="107" t="s">
        <v>1277</v>
      </c>
      <c r="C39" s="85"/>
      <c r="D39" s="88"/>
      <c r="E39" s="97"/>
      <c r="F39" s="88"/>
      <c r="H39" s="98"/>
      <c r="I39" s="97"/>
      <c r="J39" s="88"/>
      <c r="L39" s="98"/>
      <c r="M39" s="98"/>
    </row>
    <row r="40" spans="2:13">
      <c r="B40" s="107" t="s">
        <v>1278</v>
      </c>
      <c r="C40" s="85"/>
      <c r="D40" s="88"/>
      <c r="E40" s="97"/>
      <c r="F40" s="88"/>
      <c r="H40" s="98"/>
      <c r="I40" s="97"/>
      <c r="J40" s="88"/>
      <c r="L40" s="98"/>
      <c r="M40" s="98"/>
    </row>
    <row r="41" spans="2:13">
      <c r="B41" s="107" t="s">
        <v>1279</v>
      </c>
      <c r="C41" s="85"/>
      <c r="D41" s="88"/>
      <c r="E41" s="97"/>
      <c r="F41" s="88"/>
      <c r="H41" s="98"/>
      <c r="I41" s="97"/>
      <c r="J41" s="88"/>
      <c r="L41" s="98"/>
      <c r="M41" s="98"/>
    </row>
    <row r="42" spans="2:13" ht="13">
      <c r="B42" s="99"/>
      <c r="C42" s="85"/>
      <c r="D42" s="96"/>
      <c r="E42" s="97"/>
      <c r="F42" s="96"/>
      <c r="I42" s="97"/>
      <c r="J42" s="96"/>
    </row>
    <row r="43" spans="2:13" ht="13">
      <c r="B43" s="91" t="s">
        <v>1280</v>
      </c>
      <c r="C43" s="91"/>
      <c r="D43" s="89" t="e">
        <f>D36+D29+D23+D17+D9</f>
        <v>#REF!</v>
      </c>
      <c r="E43" s="94"/>
      <c r="F43" s="89"/>
      <c r="H43" s="100" t="e">
        <f>SUM(H7:H42)</f>
        <v>#REF!</v>
      </c>
      <c r="I43" s="94"/>
      <c r="J43" s="89"/>
      <c r="L43" s="100" t="e">
        <f>SUM(L7:L42)</f>
        <v>#REF!</v>
      </c>
      <c r="M43" s="89"/>
    </row>
    <row r="47" spans="2:13">
      <c r="B47" s="85" t="s">
        <v>1281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88" t="s">
        <v>1282</v>
      </c>
      <c r="C2" s="988"/>
      <c r="D2" s="988"/>
      <c r="E2" s="988"/>
      <c r="F2" s="988"/>
      <c r="G2" s="988"/>
      <c r="H2" s="988"/>
      <c r="I2" s="988"/>
      <c r="J2" s="988"/>
      <c r="K2" s="988"/>
      <c r="L2" s="988"/>
      <c r="M2" s="988"/>
      <c r="N2" s="988"/>
      <c r="O2" s="988"/>
    </row>
    <row r="4" spans="2:15" ht="13">
      <c r="B4" s="91" t="s">
        <v>284</v>
      </c>
      <c r="C4" s="85"/>
      <c r="D4" s="89" t="s">
        <v>1234</v>
      </c>
      <c r="E4" s="94"/>
      <c r="F4" s="94"/>
      <c r="G4" s="89" t="s">
        <v>1283</v>
      </c>
      <c r="H4" s="95"/>
      <c r="J4" s="89" t="s">
        <v>1264</v>
      </c>
      <c r="L4" s="89" t="s">
        <v>1284</v>
      </c>
      <c r="M4" s="95"/>
      <c r="O4" s="89" t="s">
        <v>1264</v>
      </c>
    </row>
    <row r="5" spans="2:15" ht="5.25" customHeight="1">
      <c r="B5" s="96"/>
      <c r="C5" s="85"/>
      <c r="D5" s="96"/>
      <c r="E5" s="97"/>
      <c r="F5" s="97"/>
      <c r="G5" s="96"/>
      <c r="H5" s="86"/>
      <c r="J5" s="96"/>
      <c r="L5" s="96"/>
      <c r="M5" s="86"/>
      <c r="O5" s="96"/>
    </row>
    <row r="6" spans="2:15" ht="13">
      <c r="B6" s="85" t="s">
        <v>1011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985</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1076</v>
      </c>
      <c r="C10" s="85"/>
      <c r="D10" s="88" t="e">
        <f>#REF!</f>
        <v>#REF!</v>
      </c>
      <c r="E10" s="97"/>
      <c r="F10" s="97"/>
      <c r="G10" s="88">
        <v>0</v>
      </c>
      <c r="H10" s="90"/>
      <c r="J10" s="98" t="e">
        <f t="shared" si="0"/>
        <v>#REF!</v>
      </c>
      <c r="L10" s="88"/>
      <c r="M10" s="90"/>
      <c r="O10" s="98" t="e">
        <f t="shared" si="1"/>
        <v>#REF!</v>
      </c>
    </row>
    <row r="11" spans="2:15">
      <c r="B11" s="85" t="s">
        <v>1287</v>
      </c>
      <c r="C11" s="85"/>
      <c r="D11" s="88" t="e">
        <f>#REF!</f>
        <v>#REF!</v>
      </c>
      <c r="E11" s="97"/>
      <c r="F11" s="97"/>
      <c r="G11" s="88">
        <v>29257.61</v>
      </c>
      <c r="H11" s="90"/>
      <c r="J11" s="98" t="e">
        <f t="shared" si="0"/>
        <v>#REF!</v>
      </c>
      <c r="L11" s="88"/>
      <c r="M11" s="90"/>
      <c r="O11" s="98" t="e">
        <f t="shared" si="1"/>
        <v>#REF!</v>
      </c>
    </row>
    <row r="12" spans="2:15">
      <c r="B12" s="85" t="s">
        <v>1288</v>
      </c>
      <c r="C12" s="85"/>
      <c r="D12" s="88" t="e">
        <f>#REF!</f>
        <v>#REF!</v>
      </c>
      <c r="E12" s="97"/>
      <c r="F12" s="97"/>
      <c r="G12" s="88"/>
      <c r="H12" s="90"/>
      <c r="J12" s="98" t="e">
        <f t="shared" si="0"/>
        <v>#REF!</v>
      </c>
      <c r="L12" s="88"/>
      <c r="M12" s="90"/>
      <c r="O12" s="98" t="e">
        <f t="shared" si="1"/>
        <v>#REF!</v>
      </c>
    </row>
    <row r="13" spans="2:15">
      <c r="B13" s="85" t="s">
        <v>1289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1280</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1234</v>
      </c>
      <c r="E18" s="94"/>
      <c r="F18" s="94"/>
      <c r="G18" s="89" t="s">
        <v>1290</v>
      </c>
      <c r="H18" s="95"/>
      <c r="J18" s="89" t="s">
        <v>1264</v>
      </c>
      <c r="L18" s="89" t="s">
        <v>1291</v>
      </c>
      <c r="M18" s="95"/>
      <c r="O18" s="89" t="s">
        <v>1264</v>
      </c>
    </row>
    <row r="19" spans="2:15" ht="7.5" customHeight="1">
      <c r="B19" s="96"/>
      <c r="C19" s="85"/>
      <c r="D19" s="96"/>
      <c r="E19" s="97"/>
      <c r="F19" s="97"/>
      <c r="G19" s="96"/>
      <c r="H19" s="86"/>
      <c r="J19" s="96"/>
      <c r="L19" s="96"/>
      <c r="M19" s="86"/>
      <c r="O19" s="96"/>
    </row>
    <row r="20" spans="2:15" ht="13">
      <c r="B20" s="85" t="s">
        <v>1292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1295</v>
      </c>
      <c r="C23" s="85"/>
      <c r="D23" s="88" t="e">
        <f>SUM(#REF!)</f>
        <v>#REF!</v>
      </c>
      <c r="E23" s="94" t="e">
        <f>D23/(1000*#REF!)</f>
        <v>#REF!</v>
      </c>
      <c r="F23" s="94"/>
      <c r="G23" s="88"/>
      <c r="H23" s="95"/>
      <c r="J23" s="98" t="e">
        <f t="shared" si="2"/>
        <v>#REF!</v>
      </c>
      <c r="L23" s="88"/>
      <c r="M23" s="95"/>
      <c r="O23" s="98" t="e">
        <f t="shared" si="3"/>
        <v>#REF!</v>
      </c>
    </row>
    <row r="24" spans="2:15">
      <c r="B24" s="85" t="s">
        <v>1288</v>
      </c>
      <c r="C24" s="85"/>
      <c r="D24" s="88" t="e">
        <f>#REF!</f>
        <v>#REF!</v>
      </c>
      <c r="E24" s="97"/>
      <c r="F24" s="97"/>
      <c r="G24" s="88"/>
      <c r="H24" s="90"/>
      <c r="J24" s="98" t="e">
        <f t="shared" si="2"/>
        <v>#REF!</v>
      </c>
      <c r="L24" s="88"/>
      <c r="M24" s="90"/>
      <c r="O24" s="98" t="e">
        <f t="shared" si="3"/>
        <v>#REF!</v>
      </c>
    </row>
    <row r="25" spans="2:15">
      <c r="B25" s="85" t="s">
        <v>1296</v>
      </c>
      <c r="C25" s="85"/>
      <c r="D25" s="88" t="e">
        <f>SUM(#REF!)</f>
        <v>#REF!</v>
      </c>
      <c r="E25" s="97"/>
      <c r="F25" s="97"/>
      <c r="G25" s="88"/>
      <c r="H25" s="90"/>
      <c r="J25" s="98" t="e">
        <f t="shared" si="2"/>
        <v>#REF!</v>
      </c>
      <c r="L25" s="88"/>
      <c r="M25" s="90"/>
      <c r="O25" s="98" t="e">
        <f t="shared" si="3"/>
        <v>#REF!</v>
      </c>
    </row>
    <row r="26" spans="2:15">
      <c r="B26" s="85" t="s">
        <v>1076</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1280</v>
      </c>
      <c r="C29" s="91"/>
      <c r="D29" s="89" t="e">
        <f>SUM(D20:D27)</f>
        <v>#REF!</v>
      </c>
      <c r="E29" s="94"/>
      <c r="F29" s="94"/>
      <c r="G29" s="89">
        <f>SUM(G20:G27)</f>
        <v>0</v>
      </c>
      <c r="H29" s="95"/>
      <c r="J29" s="100" t="e">
        <f>SUM(J20:J28)</f>
        <v>#REF!</v>
      </c>
      <c r="L29" s="89">
        <f>SUM(L20:L27)</f>
        <v>0</v>
      </c>
      <c r="M29" s="95"/>
      <c r="O29" s="100" t="e">
        <f>SUM(O20:O28)</f>
        <v>#REF!</v>
      </c>
    </row>
    <row r="32" spans="2:15" ht="13.5" thickBot="1">
      <c r="B32" s="101" t="s">
        <v>1297</v>
      </c>
      <c r="C32" s="102"/>
      <c r="D32" s="102"/>
    </row>
    <row r="33" spans="2:4" ht="13" thickTop="1"/>
    <row r="34" spans="2:4">
      <c r="B34" s="87" t="s">
        <v>1234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90" t="e">
        <f>D15</f>
        <v>#REF!</v>
      </c>
      <c r="C1" s="990"/>
      <c r="D1" s="990"/>
      <c r="E1" s="989" t="s">
        <v>1299</v>
      </c>
      <c r="F1" s="989"/>
      <c r="G1" s="989"/>
      <c r="H1" s="989"/>
      <c r="I1" s="989"/>
      <c r="J1" s="989"/>
      <c r="K1" s="77"/>
      <c r="L1" s="77"/>
      <c r="M1" s="77"/>
      <c r="N1" s="77"/>
    </row>
    <row r="2" spans="2:14" ht="6.75" customHeight="1"/>
    <row r="3" spans="2:14">
      <c r="B3" s="72" t="s">
        <v>113</v>
      </c>
      <c r="C3" s="72" t="s">
        <v>1300</v>
      </c>
      <c r="D3" s="72" t="s">
        <v>1301</v>
      </c>
      <c r="E3" s="78" t="s">
        <v>1302</v>
      </c>
      <c r="F3" s="78" t="s">
        <v>1303</v>
      </c>
      <c r="G3" s="78" t="s">
        <v>90</v>
      </c>
      <c r="H3" s="78" t="s">
        <v>91</v>
      </c>
      <c r="I3" s="78" t="s">
        <v>84</v>
      </c>
      <c r="J3" s="78" t="s">
        <v>92</v>
      </c>
    </row>
    <row r="4" spans="2:14">
      <c r="B4" s="76" t="s">
        <v>1304</v>
      </c>
      <c r="C4" s="74"/>
      <c r="D4" s="74"/>
      <c r="E4" s="74"/>
      <c r="F4" s="74"/>
      <c r="G4" s="76"/>
      <c r="H4" s="76"/>
      <c r="I4" s="76"/>
      <c r="J4" s="71"/>
    </row>
    <row r="5" spans="2:14">
      <c r="B5" s="76" t="s">
        <v>1305</v>
      </c>
      <c r="C5" s="74"/>
      <c r="D5" s="74"/>
      <c r="E5" s="74"/>
      <c r="F5" s="74"/>
      <c r="G5" s="76"/>
      <c r="H5" s="76"/>
      <c r="I5" s="76"/>
      <c r="J5" s="71"/>
    </row>
    <row r="6" spans="2:14">
      <c r="B6" s="76" t="s">
        <v>1306</v>
      </c>
      <c r="C6" s="74"/>
      <c r="D6" s="74"/>
      <c r="E6" s="74"/>
      <c r="F6" s="74"/>
      <c r="G6" s="76"/>
      <c r="H6" s="76"/>
      <c r="I6" s="76"/>
      <c r="J6" s="71"/>
    </row>
    <row r="7" spans="2:14">
      <c r="B7" s="76" t="s">
        <v>1307</v>
      </c>
      <c r="C7" s="74"/>
      <c r="D7" s="74"/>
      <c r="E7" s="74"/>
      <c r="F7" s="74"/>
      <c r="G7" s="76"/>
      <c r="H7" s="76"/>
      <c r="I7" s="76"/>
      <c r="J7" s="71"/>
    </row>
    <row r="8" spans="2:14">
      <c r="B8" s="76" t="s">
        <v>1308</v>
      </c>
      <c r="C8" s="75"/>
      <c r="D8" s="75"/>
      <c r="E8" s="75"/>
      <c r="F8" s="75"/>
      <c r="G8" s="75"/>
      <c r="H8" s="75"/>
      <c r="I8" s="75"/>
      <c r="J8" s="71"/>
    </row>
    <row r="9" spans="2:14">
      <c r="B9" s="76" t="s">
        <v>1309</v>
      </c>
      <c r="C9" s="75"/>
      <c r="D9" s="75"/>
      <c r="E9" s="75"/>
      <c r="F9" s="75"/>
      <c r="G9" s="75"/>
      <c r="H9" s="75"/>
      <c r="I9" s="75"/>
      <c r="J9" s="71"/>
    </row>
    <row r="10" spans="2:14">
      <c r="B10" s="76" t="s">
        <v>1310</v>
      </c>
      <c r="C10" s="75"/>
      <c r="D10" s="75"/>
      <c r="E10" s="75"/>
      <c r="F10" s="75"/>
      <c r="G10" s="75"/>
      <c r="H10" s="75"/>
      <c r="I10" s="75"/>
      <c r="J10" s="71"/>
    </row>
    <row r="11" spans="2:14">
      <c r="B11" s="76" t="s">
        <v>1311</v>
      </c>
      <c r="C11" s="75"/>
      <c r="D11" s="75"/>
      <c r="E11" s="75"/>
      <c r="F11" s="75"/>
      <c r="G11" s="75"/>
      <c r="H11" s="75"/>
      <c r="I11" s="75"/>
      <c r="J11" s="71"/>
    </row>
    <row r="12" spans="2:14">
      <c r="B12" s="76" t="s">
        <v>1312</v>
      </c>
      <c r="C12" s="75"/>
      <c r="D12" s="75"/>
      <c r="E12" s="75"/>
      <c r="F12" s="75"/>
      <c r="G12" s="75"/>
      <c r="H12" s="75"/>
      <c r="I12" s="75"/>
      <c r="J12" s="71"/>
    </row>
    <row r="13" spans="2:14">
      <c r="B13" s="76" t="s">
        <v>1313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Project Plan</vt:lpstr>
      <vt:lpstr>BOQ</vt:lpstr>
      <vt:lpstr>PO-Security Fence</vt:lpstr>
      <vt:lpstr>PO-NOSA</vt:lpstr>
      <vt:lpstr>PO-ABB Switchgear Installation</vt:lpstr>
      <vt:lpstr>PO-ABB Switchgear</vt:lpstr>
      <vt:lpstr>PO - Fuducia Construction</vt:lpstr>
      <vt:lpstr>PO - Fire Protection</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2026-02-24T06:57:26Z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