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chartsheets/sheet1.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5291" documentId="13_ncr:1_{CD365AC2-7AFF-447F-BCAA-27DFFF7DA5E7}" xr6:coauthVersionLast="47" xr6:coauthVersionMax="47" xr10:uidLastSave="{AE8B19A7-9DD0-4CD2-844B-ABBA0251FBF1}"/>
  <bookViews>
    <workbookView xWindow="-110" yWindow="-110" windowWidth="19420" windowHeight="11500" tabRatio="831" firstSheet="17" activeTab="17"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O Generator" sheetId="26" r:id="rId6"/>
    <sheet name="BOQ" sheetId="25" r:id="rId7"/>
    <sheet name="Project Plan" sheetId="19" r:id="rId8"/>
    <sheet name="PO-Security Fence" sheetId="27" state="hidden" r:id="rId9"/>
    <sheet name="PO-NOSA" sheetId="28" state="hidden" r:id="rId10"/>
    <sheet name="PO-ABB Switchgear Installation" sheetId="30" state="hidden" r:id="rId11"/>
    <sheet name="PO-ABB Switchgear" sheetId="29" state="hidden" r:id="rId12"/>
    <sheet name="PO - Fuducia Construction" sheetId="31" state="hidden" r:id="rId13"/>
    <sheet name="PO - Fire Protection" sheetId="32" state="hidden" r:id="rId14"/>
    <sheet name="Data" sheetId="8" state="hidden" r:id="rId15"/>
    <sheet name="Revenue Tracking" sheetId="5" r:id="rId16"/>
    <sheet name="Expenditure Tracking" sheetId="3" r:id="rId17"/>
    <sheet name="Expenditure Breakdown" sheetId="18" r:id="rId18"/>
    <sheet name="Sheet3" sheetId="24" state="hidden" r:id="rId19"/>
    <sheet name="Cashflow" sheetId="6" r:id="rId20"/>
    <sheet name="Chart1" sheetId="11" r:id="rId21"/>
    <sheet name="Finance - Revenue" sheetId="13" r:id="rId22"/>
    <sheet name="Finance - COS" sheetId="14" r:id="rId23"/>
    <sheet name="Project Margins" sheetId="12" state="hidden" r:id="rId24"/>
    <sheet name="Equipment Quotes" sheetId="9" state="hidden" r:id="rId25"/>
    <sheet name="Installer Quotes" sheetId="7" state="hidden" r:id="rId26"/>
    <sheet name="Decision Register" sheetId="10" state="hidden" r:id="rId27"/>
  </sheets>
  <externalReferences>
    <externalReference r:id="rId28"/>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13">'PO - Fire Protection'!$A$1:$J$42</definedName>
    <definedName name="_xlnm.Print_Area" localSheetId="12">'PO - Fuducia Construction'!$A$1:$J$47</definedName>
    <definedName name="_xlnm.Print_Area" localSheetId="5">'PO Generator'!$A$1:$J$47</definedName>
    <definedName name="_xlnm.Print_Area" localSheetId="11">'PO-ABB Switchgear'!$A$1:$J$47</definedName>
    <definedName name="_xlnm.Print_Area" localSheetId="10">'PO-ABB Switchgear Installation'!$A$1:$J$47</definedName>
    <definedName name="_xlnm.Print_Area" localSheetId="9">'PO-NOSA'!$A$1:$J$42</definedName>
    <definedName name="_xlnm.Print_Area" localSheetId="8">'PO-Security Fence'!$A$1:$J$40</definedName>
    <definedName name="_xlnm.Print_Area" localSheetId="7">'Project Plan'!$B$10:$AJ$237</definedName>
    <definedName name="Project_Size" localSheetId="1">'Certificate - Financial Close'!Projectsize</definedName>
    <definedName name="Project_Size" localSheetId="2">Compliance!Projectsize</definedName>
    <definedName name="Project_Size" localSheetId="21">'Finance - Revenue'!Projectsize</definedName>
    <definedName name="Project_Size" localSheetId="13">'PO - Fire Protection'!Projectsize</definedName>
    <definedName name="Project_Size" localSheetId="12">'PO - Fuducia Construction'!Projectsize</definedName>
    <definedName name="Project_Size" localSheetId="5">'PO Generator'!Projectsize</definedName>
    <definedName name="Project_Size" localSheetId="11">'PO-ABB Switchgear'!Projectsize</definedName>
    <definedName name="Project_Size" localSheetId="10">'PO-ABB Switchgear Installation'!Projectsize</definedName>
    <definedName name="Project_Size" localSheetId="9">'PO-NOSA'!Projectsize</definedName>
    <definedName name="Project_Size" localSheetId="8">'PO-Security Fence'!Projectsize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21">#REF!</definedName>
    <definedName name="Projectsize" localSheetId="13">'PO - Fire Protection'!#REF!</definedName>
    <definedName name="Projectsize" localSheetId="12">'PO - Fuducia Construction'!#REF!</definedName>
    <definedName name="Projectsize" localSheetId="5">#REF!</definedName>
    <definedName name="Projectsize" localSheetId="11">'PO-ABB Switchgear'!#REF!</definedName>
    <definedName name="Projectsize" localSheetId="10">'PO-ABB Switchgear Installation'!#REF!</definedName>
    <definedName name="Projectsize" localSheetId="9">'PO-NOSA'!#REF!</definedName>
    <definedName name="Projectsize" localSheetId="8">#REF!</definedName>
    <definedName name="Projectsize" localSheetId="3">#REF!</definedName>
    <definedName name="Projectsize">'Project Margins'!$K$5</definedName>
    <definedName name="Roedolph">"Roedolph Venter"</definedName>
    <definedName name="Security_Serv" localSheetId="21">#REF!</definedName>
    <definedName name="Security_Serv">#REF!</definedName>
    <definedName name="Slicer_Type">#N/A</definedName>
    <definedName name="SSS" localSheetId="21">#REF!</definedName>
    <definedName name="SSS">#REF!</definedName>
    <definedName name="USD_ZAR">#REF!</definedName>
  </definedNames>
  <calcPr calcId="191028"/>
  <pivotCaches>
    <pivotCache cacheId="29" r:id="rId29"/>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206" i="18" l="1"/>
  <c r="T197" i="18"/>
  <c r="T188" i="18"/>
  <c r="M52" i="19"/>
  <c r="Q52" i="19" s="1"/>
  <c r="W206" i="18" l="1"/>
  <c r="W197" i="18"/>
  <c r="W188" i="18"/>
  <c r="W303" i="18"/>
  <c r="I23" i="32"/>
  <c r="I24" i="32" s="1"/>
  <c r="I25" i="32" s="1"/>
  <c r="W52" i="18"/>
  <c r="Q37" i="19"/>
  <c r="P34" i="19"/>
  <c r="AA22" i="19" s="1"/>
  <c r="W305" i="18"/>
  <c r="Q305" i="18"/>
  <c r="X266" i="18" s="1"/>
  <c r="W213" i="18"/>
  <c r="W204" i="18"/>
  <c r="W195" i="18"/>
  <c r="W186" i="18"/>
  <c r="Q186" i="18"/>
  <c r="Q195" i="18"/>
  <c r="Q204" i="18"/>
  <c r="Q213" i="18"/>
  <c r="T205" i="18"/>
  <c r="T196" i="18"/>
  <c r="T187" i="18"/>
  <c r="Q180" i="18"/>
  <c r="Q185" i="18"/>
  <c r="Q189" i="18"/>
  <c r="Q194" i="18"/>
  <c r="Q212" i="18"/>
  <c r="Q207" i="18"/>
  <c r="Q208" i="18"/>
  <c r="Q209" i="18"/>
  <c r="Q210" i="18"/>
  <c r="Q211" i="18"/>
  <c r="Q198" i="18"/>
  <c r="Q199" i="18"/>
  <c r="Q200" i="18"/>
  <c r="Q201" i="18"/>
  <c r="Q202" i="18"/>
  <c r="Q203" i="18"/>
  <c r="Q190" i="18"/>
  <c r="Q191" i="18"/>
  <c r="Q192" i="18"/>
  <c r="Q193" i="18"/>
  <c r="Q188" i="18"/>
  <c r="Q197" i="18"/>
  <c r="Q206" i="18"/>
  <c r="T203" i="18"/>
  <c r="T202" i="18"/>
  <c r="T201" i="18"/>
  <c r="T200" i="18"/>
  <c r="T199" i="18"/>
  <c r="T198" i="18"/>
  <c r="T180" i="18"/>
  <c r="Q184" i="18"/>
  <c r="Q183" i="18"/>
  <c r="Q182" i="18"/>
  <c r="Q181" i="18"/>
  <c r="Q179" i="18"/>
  <c r="T194" i="18"/>
  <c r="T193" i="18"/>
  <c r="T192" i="18"/>
  <c r="T191" i="18"/>
  <c r="T190" i="18"/>
  <c r="T189" i="18"/>
  <c r="T185" i="18"/>
  <c r="T184" i="18"/>
  <c r="T183" i="18"/>
  <c r="T182" i="18"/>
  <c r="I41" i="32"/>
  <c r="I19" i="32"/>
  <c r="I20" i="32"/>
  <c r="I21" i="32"/>
  <c r="I22" i="32"/>
  <c r="I12" i="32"/>
  <c r="C13" i="32"/>
  <c r="I13" i="32"/>
  <c r="C14" i="32"/>
  <c r="C15" i="32"/>
  <c r="C16" i="32"/>
  <c r="O1" i="32"/>
  <c r="Q158" i="18"/>
  <c r="M227" i="19"/>
  <c r="Q227" i="19" s="1"/>
  <c r="W115" i="18"/>
  <c r="I46" i="31"/>
  <c r="I19" i="31"/>
  <c r="I20" i="31"/>
  <c r="I21" i="31"/>
  <c r="I22" i="31"/>
  <c r="I23" i="31"/>
  <c r="I24" i="31"/>
  <c r="I25" i="31"/>
  <c r="I26" i="31"/>
  <c r="I27" i="31"/>
  <c r="I28" i="31"/>
  <c r="I29" i="31" s="1"/>
  <c r="I30" i="31" s="1"/>
  <c r="I12" i="31"/>
  <c r="C13" i="31"/>
  <c r="I13" i="31"/>
  <c r="C14" i="31"/>
  <c r="C15" i="31"/>
  <c r="C16" i="31"/>
  <c r="O1" i="31"/>
  <c r="W17" i="18"/>
  <c r="W18" i="18"/>
  <c r="I46" i="30"/>
  <c r="I19" i="30"/>
  <c r="I20" i="30"/>
  <c r="I21" i="30"/>
  <c r="I22" i="30"/>
  <c r="I23" i="30"/>
  <c r="I24" i="30"/>
  <c r="I25" i="30"/>
  <c r="I28" i="30"/>
  <c r="I29" i="30"/>
  <c r="I30" i="30"/>
  <c r="I26" i="30"/>
  <c r="I27" i="30"/>
  <c r="I12" i="30"/>
  <c r="C13" i="30"/>
  <c r="I13" i="30"/>
  <c r="C14" i="30"/>
  <c r="C15" i="30"/>
  <c r="C16" i="30"/>
  <c r="O1" i="30"/>
  <c r="O1" i="29"/>
  <c r="I46" i="29"/>
  <c r="I19" i="29"/>
  <c r="I28" i="29"/>
  <c r="I29" i="29"/>
  <c r="I30" i="29"/>
  <c r="I20" i="29"/>
  <c r="I21" i="29"/>
  <c r="I22" i="29"/>
  <c r="I23" i="29"/>
  <c r="I24" i="29"/>
  <c r="I25" i="29"/>
  <c r="I26" i="29"/>
  <c r="I27" i="29"/>
  <c r="I12" i="29"/>
  <c r="C13" i="29"/>
  <c r="I13" i="29"/>
  <c r="C14" i="29"/>
  <c r="C15" i="29"/>
  <c r="C16" i="29"/>
  <c r="Q115" i="18"/>
  <c r="Q114" i="18"/>
  <c r="P108" i="18"/>
  <c r="Q109" i="18" s="1"/>
  <c r="F23" i="14"/>
  <c r="W89" i="18"/>
  <c r="W173" i="18"/>
  <c r="W172" i="18"/>
  <c r="Q173" i="18"/>
  <c r="Q172" i="18"/>
  <c r="W278" i="18"/>
  <c r="W279" i="18"/>
  <c r="W280" i="18"/>
  <c r="W281" i="18"/>
  <c r="W282" i="18"/>
  <c r="W283" i="18"/>
  <c r="W284" i="18"/>
  <c r="W286" i="18"/>
  <c r="W287" i="18"/>
  <c r="W288" i="18"/>
  <c r="W289" i="18"/>
  <c r="W290" i="18"/>
  <c r="W291" i="18"/>
  <c r="W292" i="18"/>
  <c r="W277" i="18"/>
  <c r="W331" i="18"/>
  <c r="Q331" i="18"/>
  <c r="Q324" i="18"/>
  <c r="Q167" i="18"/>
  <c r="Q166" i="18"/>
  <c r="Q66" i="18"/>
  <c r="Q65" i="18"/>
  <c r="Q69" i="18"/>
  <c r="Q68" i="18"/>
  <c r="Q72" i="18"/>
  <c r="Q71" i="18"/>
  <c r="Q75" i="18"/>
  <c r="Q74" i="18"/>
  <c r="P17" i="18"/>
  <c r="Q18" i="18" s="1"/>
  <c r="P14" i="18"/>
  <c r="Q15" i="18" s="1"/>
  <c r="P6" i="18"/>
  <c r="P11" i="18"/>
  <c r="Q11" i="18" s="1"/>
  <c r="W15" i="18"/>
  <c r="W12" i="18"/>
  <c r="W9" i="18"/>
  <c r="W8" i="18"/>
  <c r="Q156" i="18"/>
  <c r="Q155" i="18"/>
  <c r="T46" i="18"/>
  <c r="I41" i="28"/>
  <c r="I19" i="28"/>
  <c r="I20" i="28"/>
  <c r="I21" i="28"/>
  <c r="I22" i="28"/>
  <c r="I12" i="28"/>
  <c r="C13" i="28"/>
  <c r="I13" i="28"/>
  <c r="C14" i="28"/>
  <c r="C15" i="28"/>
  <c r="C16" i="28"/>
  <c r="O1" i="28"/>
  <c r="Q163" i="18"/>
  <c r="I23" i="28"/>
  <c r="I24" i="28" s="1"/>
  <c r="I25" i="28" s="1"/>
  <c r="I39" i="27"/>
  <c r="C16" i="27"/>
  <c r="C15" i="27"/>
  <c r="C14" i="27"/>
  <c r="I13" i="27"/>
  <c r="C13" i="27"/>
  <c r="I12" i="27"/>
  <c r="O1" i="27"/>
  <c r="I21" i="27"/>
  <c r="I22" i="27" s="1"/>
  <c r="I23" i="27" s="1"/>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C16" i="26"/>
  <c r="C15" i="26"/>
  <c r="C14" i="26"/>
  <c r="C13" i="26"/>
  <c r="I12" i="26"/>
  <c r="O1" i="26"/>
  <c r="W164" i="18"/>
  <c r="Q164" i="18"/>
  <c r="W161" i="18"/>
  <c r="Q161" i="18"/>
  <c r="Q160" i="18"/>
  <c r="AC106" i="18"/>
  <c r="AC104" i="18"/>
  <c r="AC103" i="18"/>
  <c r="H15" i="5"/>
  <c r="H16" i="5"/>
  <c r="H17" i="5"/>
  <c r="H18" i="5"/>
  <c r="H19" i="5"/>
  <c r="H20" i="5"/>
  <c r="H21" i="5"/>
  <c r="H22" i="5"/>
  <c r="H23" i="5"/>
  <c r="H24" i="5"/>
  <c r="H25" i="5"/>
  <c r="H26" i="5"/>
  <c r="H27" i="5"/>
  <c r="P15" i="5"/>
  <c r="P16" i="5"/>
  <c r="P17" i="5"/>
  <c r="P18" i="5"/>
  <c r="P19" i="5"/>
  <c r="P20" i="5"/>
  <c r="P21" i="5"/>
  <c r="W50" i="18"/>
  <c r="W44" i="18"/>
  <c r="W41" i="18"/>
  <c r="W11" i="18"/>
  <c r="K224" i="19"/>
  <c r="K223" i="19" s="1"/>
  <c r="K236" i="19"/>
  <c r="M236" i="19" s="1"/>
  <c r="Q130" i="19"/>
  <c r="Q131" i="19"/>
  <c r="Q132" i="19"/>
  <c r="Q133" i="19"/>
  <c r="K141" i="19"/>
  <c r="K142" i="19" s="1"/>
  <c r="R160" i="19"/>
  <c r="R161" i="19" s="1"/>
  <c r="R153" i="19"/>
  <c r="R154" i="19" s="1"/>
  <c r="R143" i="19"/>
  <c r="R144" i="19" s="1"/>
  <c r="R145" i="19" s="1"/>
  <c r="R152" i="19" s="1"/>
  <c r="M179" i="19"/>
  <c r="Y29" i="19" s="1"/>
  <c r="P374" i="18"/>
  <c r="Q374" i="18" s="1"/>
  <c r="T232" i="18"/>
  <c r="W330" i="18"/>
  <c r="Q330" i="18"/>
  <c r="Q176" i="18"/>
  <c r="Q175" i="18"/>
  <c r="W109" i="18"/>
  <c r="W110" i="18" s="1"/>
  <c r="W111" i="18" s="1"/>
  <c r="W112" i="18" s="1"/>
  <c r="W153" i="18"/>
  <c r="W152" i="18"/>
  <c r="W151" i="18"/>
  <c r="P150" i="18"/>
  <c r="Q153" i="18" s="1"/>
  <c r="W156" i="18"/>
  <c r="S44" i="18"/>
  <c r="S41" i="18"/>
  <c r="AD7" i="18"/>
  <c r="P41" i="18" s="1"/>
  <c r="W29" i="18"/>
  <c r="Q21" i="18"/>
  <c r="Q22" i="18"/>
  <c r="Q24" i="18"/>
  <c r="T223" i="18"/>
  <c r="W223" i="18" s="1"/>
  <c r="W244" i="18"/>
  <c r="W243" i="18"/>
  <c r="W242" i="18"/>
  <c r="W241" i="18"/>
  <c r="W240" i="18"/>
  <c r="O9" i="18"/>
  <c r="O8" i="18"/>
  <c r="O7" i="18"/>
  <c r="W377" i="18"/>
  <c r="T377" i="18" s="1"/>
  <c r="T374" i="18"/>
  <c r="T375" i="18"/>
  <c r="T376" i="18"/>
  <c r="T378" i="18"/>
  <c r="T379" i="18"/>
  <c r="T380" i="18"/>
  <c r="T381" i="18"/>
  <c r="T382" i="18"/>
  <c r="P379" i="18"/>
  <c r="T373" i="18"/>
  <c r="EF1" i="6"/>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30" i="18"/>
  <c r="EL5" i="6" s="1"/>
  <c r="G330" i="18"/>
  <c r="W324" i="18"/>
  <c r="W325" i="18"/>
  <c r="W326" i="18"/>
  <c r="W327" i="18"/>
  <c r="W328" i="18"/>
  <c r="W329" i="18"/>
  <c r="W323" i="18"/>
  <c r="W322" i="18"/>
  <c r="Q329" i="18"/>
  <c r="Q328" i="18"/>
  <c r="Q327" i="18"/>
  <c r="Q326" i="18"/>
  <c r="Q325" i="18"/>
  <c r="Q350" i="18"/>
  <c r="Q349" i="18"/>
  <c r="Q348" i="18"/>
  <c r="Q347" i="18"/>
  <c r="Q346" i="18"/>
  <c r="Q345" i="18"/>
  <c r="Q344" i="18"/>
  <c r="W343" i="18"/>
  <c r="W368" i="18"/>
  <c r="W345" i="18"/>
  <c r="W346" i="18"/>
  <c r="W347" i="18"/>
  <c r="W348" i="18"/>
  <c r="W349" i="18"/>
  <c r="W350" i="18"/>
  <c r="W351" i="18"/>
  <c r="W354" i="18"/>
  <c r="W355" i="18"/>
  <c r="W356" i="18"/>
  <c r="W357" i="18"/>
  <c r="W358" i="18"/>
  <c r="W359" i="18"/>
  <c r="W360" i="18"/>
  <c r="W362" i="18"/>
  <c r="W363" i="18"/>
  <c r="W364" i="18"/>
  <c r="W365" i="18"/>
  <c r="W366" i="18"/>
  <c r="W367" i="18"/>
  <c r="W344" i="18"/>
  <c r="Q362" i="18"/>
  <c r="Q363" i="18"/>
  <c r="Q364" i="18"/>
  <c r="Q365" i="18"/>
  <c r="Q366" i="18"/>
  <c r="Q367" i="18"/>
  <c r="Q368" i="18"/>
  <c r="Q354" i="18"/>
  <c r="Q355" i="18"/>
  <c r="Q356" i="18"/>
  <c r="Q357" i="18"/>
  <c r="Q358" i="18"/>
  <c r="Q359" i="18"/>
  <c r="Q360" i="18"/>
  <c r="Q353" i="18"/>
  <c r="Q240" i="18"/>
  <c r="Q241" i="18"/>
  <c r="Q242" i="18"/>
  <c r="Q243" i="18"/>
  <c r="Q244" i="18"/>
  <c r="W230" i="18"/>
  <c r="T239" i="18"/>
  <c r="T245" i="18"/>
  <c r="T170" i="18"/>
  <c r="T175" i="18"/>
  <c r="T176" i="18"/>
  <c r="T177" i="18"/>
  <c r="T162" i="18"/>
  <c r="T157" i="18"/>
  <c r="T154" i="18"/>
  <c r="L129" i="19"/>
  <c r="M129" i="19" s="1"/>
  <c r="Q129" i="19" s="1"/>
  <c r="B9" i="25"/>
  <c r="B8" i="25"/>
  <c r="W62" i="18"/>
  <c r="T62" i="18" s="1"/>
  <c r="W59" i="18"/>
  <c r="T59" i="18" s="1"/>
  <c r="W47" i="18"/>
  <c r="K125" i="19"/>
  <c r="L118" i="19"/>
  <c r="M118" i="19" s="1"/>
  <c r="M46" i="19"/>
  <c r="Q46" i="19" s="1"/>
  <c r="K60" i="19"/>
  <c r="M60" i="19" s="1"/>
  <c r="Q60" i="19" s="1"/>
  <c r="K18" i="19"/>
  <c r="M18" i="19" s="1"/>
  <c r="B15" i="25"/>
  <c r="B16" i="25"/>
  <c r="B17" i="25"/>
  <c r="B18" i="25"/>
  <c r="B19" i="25"/>
  <c r="B20" i="25"/>
  <c r="B49" i="25"/>
  <c r="B56" i="25"/>
  <c r="B50" i="25"/>
  <c r="B54" i="25"/>
  <c r="B52" i="25"/>
  <c r="B55" i="25"/>
  <c r="B57" i="25"/>
  <c r="B66" i="25"/>
  <c r="B67" i="25"/>
  <c r="B68" i="25"/>
  <c r="B69" i="25"/>
  <c r="B95" i="25"/>
  <c r="B108" i="25"/>
  <c r="B110" i="25"/>
  <c r="B111" i="25"/>
  <c r="B112" i="25"/>
  <c r="C10" i="24"/>
  <c r="B10" i="24"/>
  <c r="B5" i="24"/>
  <c r="B6" i="24"/>
  <c r="B7" i="24"/>
  <c r="B8" i="24"/>
  <c r="B9" i="24"/>
  <c r="B4" i="24"/>
  <c r="W105" i="18"/>
  <c r="W104" i="18"/>
  <c r="P22" i="5"/>
  <c r="P23" i="5"/>
  <c r="P24" i="5"/>
  <c r="P25" i="5"/>
  <c r="P26" i="5"/>
  <c r="P27" i="5"/>
  <c r="DH9" i="6"/>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T43" i="18"/>
  <c r="T40" i="18"/>
  <c r="L123" i="19"/>
  <c r="L122" i="19"/>
  <c r="L120" i="19"/>
  <c r="M120" i="19" s="1"/>
  <c r="Q120" i="19" s="1"/>
  <c r="L119" i="19"/>
  <c r="M119" i="19" s="1"/>
  <c r="W49" i="18"/>
  <c r="W296" i="18"/>
  <c r="W297" i="18"/>
  <c r="W298" i="18"/>
  <c r="W299" i="18"/>
  <c r="W300" i="18"/>
  <c r="W301" i="18"/>
  <c r="W302" i="18"/>
  <c r="W294" i="18"/>
  <c r="W295" i="18" s="1"/>
  <c r="F37" i="18"/>
  <c r="K122" i="19"/>
  <c r="K123" i="19" s="1"/>
  <c r="P99" i="18"/>
  <c r="Q100" i="18" s="1"/>
  <c r="G34" i="22"/>
  <c r="G33" i="22"/>
  <c r="G32" i="22"/>
  <c r="T265" i="18"/>
  <c r="T266" i="18"/>
  <c r="W222" i="18"/>
  <c r="T97" i="18"/>
  <c r="T96" i="18"/>
  <c r="G9" i="23" a="1"/>
  <c r="G9" i="23"/>
  <c r="F9" i="23" a="1"/>
  <c r="F9" i="23"/>
  <c r="L127" i="19"/>
  <c r="M127" i="19" s="1"/>
  <c r="Q127" i="19" s="1"/>
  <c r="T107" i="18"/>
  <c r="T246" i="18"/>
  <c r="T247" i="18"/>
  <c r="T248" i="18"/>
  <c r="T251" i="18"/>
  <c r="T254" i="18"/>
  <c r="T257" i="18"/>
  <c r="T134" i="18"/>
  <c r="T131" i="18"/>
  <c r="T128" i="18"/>
  <c r="T125" i="18"/>
  <c r="T122" i="18"/>
  <c r="W92" i="18"/>
  <c r="T92" i="18" s="1"/>
  <c r="W87" i="18"/>
  <c r="T87" i="18" s="1"/>
  <c r="W84" i="18"/>
  <c r="T84" i="18" s="1"/>
  <c r="P57" i="19"/>
  <c r="AA23" i="19" s="1"/>
  <c r="G22" i="22"/>
  <c r="M24" i="19"/>
  <c r="K22" i="19" s="1"/>
  <c r="I8" i="22"/>
  <c r="F9" i="22"/>
  <c r="G9" i="22"/>
  <c r="F10" i="22"/>
  <c r="G10" i="22"/>
  <c r="G5" i="22"/>
  <c r="W273" i="18"/>
  <c r="W272" i="18"/>
  <c r="M58" i="19"/>
  <c r="Q58" i="19" s="1"/>
  <c r="M45" i="19"/>
  <c r="Q45" i="19" s="1"/>
  <c r="K34" i="19"/>
  <c r="W22" i="19" s="1"/>
  <c r="P21" i="19"/>
  <c r="AA21" i="19" s="1"/>
  <c r="M19" i="19"/>
  <c r="Q19" i="19" s="1"/>
  <c r="M113" i="19"/>
  <c r="Q113" i="19" s="1"/>
  <c r="P14" i="19"/>
  <c r="AA20" i="19" s="1"/>
  <c r="M40" i="19"/>
  <c r="Q40" i="19" s="1"/>
  <c r="Q112" i="19"/>
  <c r="Q91" i="19"/>
  <c r="Q92" i="19"/>
  <c r="Q93" i="19"/>
  <c r="Q94" i="19"/>
  <c r="Q95" i="19"/>
  <c r="Q96" i="19"/>
  <c r="Q85" i="19"/>
  <c r="Q86" i="19"/>
  <c r="Q87" i="19"/>
  <c r="Q90" i="19"/>
  <c r="Q84" i="19"/>
  <c r="Q16" i="19"/>
  <c r="A330" i="19"/>
  <c r="P98" i="19"/>
  <c r="AA26" i="19" s="1"/>
  <c r="M115" i="19"/>
  <c r="Q115" i="19" s="1"/>
  <c r="M28" i="19"/>
  <c r="Q28" i="19" s="1"/>
  <c r="M114" i="19"/>
  <c r="Q114" i="19" s="1"/>
  <c r="P136" i="19"/>
  <c r="AA28" i="19" s="1"/>
  <c r="P117" i="19"/>
  <c r="AA27" i="19" s="1"/>
  <c r="P321" i="19"/>
  <c r="AA35" i="19" s="1"/>
  <c r="P301" i="19"/>
  <c r="AA33" i="19" s="1"/>
  <c r="P235" i="19"/>
  <c r="AA32" i="19" s="1"/>
  <c r="P223" i="19"/>
  <c r="AA31" i="19" s="1"/>
  <c r="P199" i="19"/>
  <c r="AA30" i="19" s="1"/>
  <c r="P179" i="19"/>
  <c r="AA29" i="19" s="1"/>
  <c r="H137" i="19"/>
  <c r="F138" i="19" s="1"/>
  <c r="H138" i="19" s="1"/>
  <c r="M134" i="19"/>
  <c r="Q134" i="19" s="1"/>
  <c r="M110" i="19"/>
  <c r="K111" i="19" s="1"/>
  <c r="M109" i="19"/>
  <c r="Q109" i="19" s="1"/>
  <c r="M108" i="19"/>
  <c r="Q108" i="19" s="1"/>
  <c r="M107" i="19"/>
  <c r="Q107" i="19" s="1"/>
  <c r="M106" i="19"/>
  <c r="M105" i="19"/>
  <c r="Q105" i="19" s="1"/>
  <c r="M104" i="19"/>
  <c r="Q104" i="19" s="1"/>
  <c r="M103" i="19"/>
  <c r="Q103" i="19" s="1"/>
  <c r="M102" i="19"/>
  <c r="Q102" i="19" s="1"/>
  <c r="M101" i="19"/>
  <c r="Q101" i="19"/>
  <c r="M100" i="19"/>
  <c r="Q100" i="19" s="1"/>
  <c r="M99" i="19"/>
  <c r="Q99" i="19" s="1"/>
  <c r="M39" i="19"/>
  <c r="Q39" i="19" s="1"/>
  <c r="M36" i="19"/>
  <c r="Q36" i="19" s="1"/>
  <c r="M35" i="19"/>
  <c r="M32" i="19"/>
  <c r="Q32" i="19" s="1"/>
  <c r="M27" i="19"/>
  <c r="Q27" i="19" s="1"/>
  <c r="M26" i="19"/>
  <c r="Q26" i="19" s="1"/>
  <c r="M25" i="19"/>
  <c r="M23" i="19"/>
  <c r="Q23" i="19" s="1"/>
  <c r="M15" i="19"/>
  <c r="Q15" i="19" s="1"/>
  <c r="C24" i="13"/>
  <c r="F24" i="14"/>
  <c r="Q147" i="18"/>
  <c r="I14" i="5"/>
  <c r="I15" i="5"/>
  <c r="I16" i="5"/>
  <c r="I17" i="5"/>
  <c r="I18" i="5"/>
  <c r="I19" i="5"/>
  <c r="I20" i="5"/>
  <c r="I21" i="5"/>
  <c r="I22" i="5"/>
  <c r="I23" i="5"/>
  <c r="I24" i="5"/>
  <c r="I25" i="5"/>
  <c r="I26" i="5"/>
  <c r="I27" i="5"/>
  <c r="I13" i="5"/>
  <c r="A1" i="19"/>
  <c r="T98" i="18"/>
  <c r="T394" i="18"/>
  <c r="T371" i="18"/>
  <c r="T370" i="18"/>
  <c r="T334" i="18"/>
  <c r="T333" i="18"/>
  <c r="T319" i="18"/>
  <c r="T318" i="18"/>
  <c r="T317" i="18"/>
  <c r="T316" i="18"/>
  <c r="T315" i="18"/>
  <c r="T314" i="18"/>
  <c r="T313" i="18"/>
  <c r="T312" i="18"/>
  <c r="T311" i="18"/>
  <c r="T310" i="18"/>
  <c r="T264" i="18"/>
  <c r="T263" i="18"/>
  <c r="T262" i="18"/>
  <c r="T261" i="18"/>
  <c r="T260" i="18"/>
  <c r="T259" i="18"/>
  <c r="T258" i="18"/>
  <c r="T233" i="18"/>
  <c r="T231" i="18"/>
  <c r="T221" i="18"/>
  <c r="T220" i="18"/>
  <c r="T219" i="18"/>
  <c r="T218" i="18"/>
  <c r="T217" i="18"/>
  <c r="T216" i="18"/>
  <c r="T215" i="18"/>
  <c r="T212" i="18"/>
  <c r="T211" i="18"/>
  <c r="T210" i="18"/>
  <c r="T209" i="18"/>
  <c r="T208" i="18"/>
  <c r="T207" i="18"/>
  <c r="T181" i="18"/>
  <c r="T178" i="18"/>
  <c r="T169" i="18"/>
  <c r="T146" i="18"/>
  <c r="T145" i="18"/>
  <c r="T144" i="18"/>
  <c r="T143" i="18"/>
  <c r="T142" i="18"/>
  <c r="T140" i="18"/>
  <c r="T137" i="18"/>
  <c r="T136" i="18"/>
  <c r="T135" i="18"/>
  <c r="T133" i="18"/>
  <c r="T132" i="18"/>
  <c r="T130" i="18"/>
  <c r="T129" i="18"/>
  <c r="T127" i="18"/>
  <c r="T126" i="18"/>
  <c r="T124" i="18"/>
  <c r="T123" i="18"/>
  <c r="T121" i="18"/>
  <c r="T120" i="18"/>
  <c r="T95" i="18"/>
  <c r="T94" i="18"/>
  <c r="T93" i="18"/>
  <c r="T91" i="18"/>
  <c r="T88" i="18"/>
  <c r="T86" i="18"/>
  <c r="T85" i="18"/>
  <c r="T83" i="18"/>
  <c r="T82" i="18"/>
  <c r="T81" i="18"/>
  <c r="T80" i="18"/>
  <c r="T79" i="18"/>
  <c r="T78" i="18"/>
  <c r="T77" i="18"/>
  <c r="T76" i="18"/>
  <c r="T73" i="18"/>
  <c r="T70" i="18"/>
  <c r="T67" i="18"/>
  <c r="T64" i="18"/>
  <c r="T61" i="18"/>
  <c r="T58" i="18"/>
  <c r="T55" i="18"/>
  <c r="T54" i="18"/>
  <c r="T51" i="18"/>
  <c r="T37" i="18"/>
  <c r="T36" i="18"/>
  <c r="T35" i="18"/>
  <c r="T31" i="18"/>
  <c r="T27" i="18"/>
  <c r="T20" i="18"/>
  <c r="T19" i="18"/>
  <c r="T16" i="18"/>
  <c r="Q256" i="18"/>
  <c r="Q255" i="18"/>
  <c r="Q253" i="18"/>
  <c r="Q252" i="18"/>
  <c r="Q250" i="18"/>
  <c r="Q249" i="18"/>
  <c r="Q139" i="18"/>
  <c r="Q138" i="18"/>
  <c r="Q134" i="18"/>
  <c r="Q131" i="18"/>
  <c r="Q92" i="18"/>
  <c r="Q87" i="18"/>
  <c r="Q84" i="18"/>
  <c r="Q81" i="18"/>
  <c r="Q63" i="18"/>
  <c r="Q59" i="18"/>
  <c r="Q56" i="18"/>
  <c r="Q50" i="18"/>
  <c r="Q49" i="18"/>
  <c r="Q34" i="18"/>
  <c r="Q33" i="18"/>
  <c r="Q32" i="18"/>
  <c r="P28" i="18"/>
  <c r="Q26" i="18"/>
  <c r="Q25" i="18"/>
  <c r="Q23" i="18"/>
  <c r="L128" i="19"/>
  <c r="M128" i="19" s="1"/>
  <c r="Q128" i="19" s="1"/>
  <c r="L126" i="19"/>
  <c r="M126" i="19" s="1"/>
  <c r="Q126" i="19" s="1"/>
  <c r="L125" i="19"/>
  <c r="L124" i="19"/>
  <c r="M124" i="19" s="1"/>
  <c r="Q124" i="19" s="1"/>
  <c r="A331" i="19"/>
  <c r="B329" i="19"/>
  <c r="M38" i="19"/>
  <c r="Q38" i="19" s="1"/>
  <c r="D4" i="5"/>
  <c r="E71" i="5" s="1"/>
  <c r="AA25" i="19"/>
  <c r="V35" i="19"/>
  <c r="V34" i="19"/>
  <c r="V33" i="19"/>
  <c r="V32" i="19"/>
  <c r="V31" i="19"/>
  <c r="V30" i="19"/>
  <c r="V29" i="19"/>
  <c r="V28" i="19"/>
  <c r="V27" i="19"/>
  <c r="V26" i="19"/>
  <c r="V25" i="19"/>
  <c r="V24" i="19"/>
  <c r="V23" i="19"/>
  <c r="V22" i="19"/>
  <c r="V21" i="19"/>
  <c r="V20" i="19"/>
  <c r="W25" i="19"/>
  <c r="F180" i="19"/>
  <c r="F200" i="19"/>
  <c r="H200" i="19"/>
  <c r="F201" i="19" s="1"/>
  <c r="H201"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372" i="18"/>
  <c r="F23" i="3" s="1"/>
  <c r="I335" i="18"/>
  <c r="F22" i="3" s="1"/>
  <c r="G332" i="18"/>
  <c r="G331" i="18"/>
  <c r="G320" i="18"/>
  <c r="Q319" i="18"/>
  <c r="G319" i="18"/>
  <c r="X316" i="18"/>
  <c r="J20" i="3" s="1"/>
  <c r="K20" i="3" s="1"/>
  <c r="I266" i="18"/>
  <c r="F19" i="3" s="1"/>
  <c r="J217" i="18"/>
  <c r="I217" i="18"/>
  <c r="F18" i="3" s="1"/>
  <c r="J179" i="18"/>
  <c r="I179" i="18"/>
  <c r="F17" i="3" s="1"/>
  <c r="G154" i="18"/>
  <c r="G153" i="18"/>
  <c r="G151" i="18"/>
  <c r="G150" i="18"/>
  <c r="G149" i="18"/>
  <c r="G148" i="18"/>
  <c r="J147" i="18"/>
  <c r="G147" i="18"/>
  <c r="I138" i="18"/>
  <c r="F15" i="3" s="1"/>
  <c r="I97" i="18"/>
  <c r="F14" i="3" s="1"/>
  <c r="G84" i="18"/>
  <c r="G83" i="18"/>
  <c r="G82" i="18"/>
  <c r="G81" i="18"/>
  <c r="G56" i="18"/>
  <c r="I37" i="18"/>
  <c r="F11" i="3" s="1"/>
  <c r="I21"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35" i="18"/>
  <c r="W336" i="18"/>
  <c r="W337" i="18"/>
  <c r="W341" i="18"/>
  <c r="W340" i="18"/>
  <c r="W339" i="18"/>
  <c r="W338" i="18"/>
  <c r="G3" i="6"/>
  <c r="AA24" i="19"/>
  <c r="AA34" i="19"/>
  <c r="M89" i="19"/>
  <c r="Y25" i="19" s="1"/>
  <c r="X25" i="19" s="1"/>
  <c r="Q301" i="19"/>
  <c r="F26" i="14"/>
  <c r="I1" i="6"/>
  <c r="Q57" i="18"/>
  <c r="Q60" i="18"/>
  <c r="M121" i="19"/>
  <c r="W39" i="18" s="1"/>
  <c r="T39" i="18" s="1"/>
  <c r="Q62" i="18"/>
  <c r="H3" i="6"/>
  <c r="J1" i="6"/>
  <c r="I3" i="6"/>
  <c r="Q80" i="19"/>
  <c r="EO9" i="6"/>
  <c r="W14" i="18"/>
  <c r="EU9" i="6"/>
  <c r="ER9" i="6"/>
  <c r="EV9" i="6"/>
  <c r="K1" i="6"/>
  <c r="J3" i="6"/>
  <c r="Q78" i="19"/>
  <c r="L1" i="6"/>
  <c r="K3" i="6"/>
  <c r="Q79" i="19"/>
  <c r="M1" i="6"/>
  <c r="L3" i="6"/>
  <c r="T214" i="18"/>
  <c r="N1" i="6"/>
  <c r="M3" i="6"/>
  <c r="C9" i="6"/>
  <c r="O1" i="6"/>
  <c r="N3" i="6"/>
  <c r="P1" i="6"/>
  <c r="O3" i="6"/>
  <c r="Q1" i="6"/>
  <c r="P3" i="6"/>
  <c r="R1" i="6"/>
  <c r="Q3" i="6"/>
  <c r="S1" i="6"/>
  <c r="R3" i="6"/>
  <c r="T1" i="6"/>
  <c r="S3" i="6"/>
  <c r="Y31" i="19"/>
  <c r="U1" i="6"/>
  <c r="T3" i="6"/>
  <c r="W65" i="18"/>
  <c r="T65" i="18" s="1"/>
  <c r="T56" i="18"/>
  <c r="V1" i="6"/>
  <c r="U3" i="6"/>
  <c r="W1" i="6"/>
  <c r="V3" i="6"/>
  <c r="F9" i="6"/>
  <c r="F10" i="6" s="1"/>
  <c r="X1" i="6"/>
  <c r="W3" i="6"/>
  <c r="Y1" i="6"/>
  <c r="X3" i="6"/>
  <c r="Z1" i="6"/>
  <c r="Y3" i="6"/>
  <c r="AA1" i="6"/>
  <c r="Z3" i="6"/>
  <c r="AB1" i="6"/>
  <c r="AA3" i="6"/>
  <c r="AC1" i="6"/>
  <c r="AB3" i="6"/>
  <c r="AD1" i="6"/>
  <c r="AC3" i="6"/>
  <c r="AE1" i="6"/>
  <c r="AD3" i="6"/>
  <c r="AF1" i="6"/>
  <c r="AE3" i="6"/>
  <c r="AG1" i="6"/>
  <c r="AF3" i="6"/>
  <c r="AH1" i="6"/>
  <c r="AG3" i="6"/>
  <c r="AI1" i="6"/>
  <c r="AH3" i="6"/>
  <c r="AJ1" i="6"/>
  <c r="AI3" i="6"/>
  <c r="AK1" i="6"/>
  <c r="AJ3" i="6"/>
  <c r="AL1" i="6"/>
  <c r="AK3" i="6"/>
  <c r="AM1" i="6"/>
  <c r="AL3" i="6"/>
  <c r="AN1" i="6"/>
  <c r="AM3" i="6"/>
  <c r="AO1" i="6"/>
  <c r="AN3" i="6"/>
  <c r="AP1" i="6"/>
  <c r="AO3" i="6"/>
  <c r="AQ1" i="6"/>
  <c r="AP3" i="6"/>
  <c r="AR1" i="6"/>
  <c r="AQ3" i="6"/>
  <c r="AS1" i="6"/>
  <c r="AR3" i="6"/>
  <c r="AT1" i="6"/>
  <c r="AS3" i="6"/>
  <c r="AU1" i="6"/>
  <c r="AT3" i="6"/>
  <c r="AV1" i="6"/>
  <c r="AU3" i="6"/>
  <c r="AW1" i="6"/>
  <c r="AV3" i="6"/>
  <c r="AX1" i="6"/>
  <c r="AW3" i="6"/>
  <c r="AY1" i="6"/>
  <c r="AX3" i="6"/>
  <c r="AZ1" i="6"/>
  <c r="AY3" i="6"/>
  <c r="BA1" i="6"/>
  <c r="AZ3" i="6"/>
  <c r="BB1" i="6"/>
  <c r="BA3" i="6"/>
  <c r="BC1" i="6"/>
  <c r="BB3" i="6"/>
  <c r="BD1" i="6"/>
  <c r="BC3" i="6"/>
  <c r="BE1" i="6"/>
  <c r="BD3" i="6"/>
  <c r="BF1" i="6"/>
  <c r="BE3" i="6"/>
  <c r="BG1" i="6"/>
  <c r="BF3" i="6"/>
  <c r="BH1" i="6"/>
  <c r="BG3" i="6"/>
  <c r="BI1" i="6"/>
  <c r="BH3" i="6"/>
  <c r="BJ1" i="6"/>
  <c r="BI3" i="6"/>
  <c r="BK1" i="6"/>
  <c r="BJ3" i="6"/>
  <c r="BL1" i="6"/>
  <c r="BK3" i="6"/>
  <c r="BM1" i="6"/>
  <c r="BL3" i="6"/>
  <c r="BN1" i="6"/>
  <c r="BM3" i="6"/>
  <c r="BO1" i="6"/>
  <c r="BN3" i="6"/>
  <c r="BP1" i="6"/>
  <c r="BO3" i="6"/>
  <c r="BQ1" i="6"/>
  <c r="BP3" i="6"/>
  <c r="BR1" i="6"/>
  <c r="BQ3" i="6"/>
  <c r="BS1" i="6"/>
  <c r="BR3" i="6"/>
  <c r="BT1" i="6"/>
  <c r="BS3" i="6"/>
  <c r="BU1" i="6"/>
  <c r="BT3" i="6"/>
  <c r="BV1" i="6"/>
  <c r="BU3" i="6"/>
  <c r="BW1" i="6"/>
  <c r="BV3" i="6"/>
  <c r="BX1" i="6"/>
  <c r="BW3" i="6"/>
  <c r="BY1" i="6"/>
  <c r="BX3" i="6"/>
  <c r="BZ1" i="6"/>
  <c r="BY3" i="6"/>
  <c r="BY5" i="6"/>
  <c r="CA1" i="6"/>
  <c r="BZ3" i="6"/>
  <c r="CB1" i="6"/>
  <c r="CA3" i="6"/>
  <c r="CC1" i="6"/>
  <c r="CB3" i="6"/>
  <c r="CD1" i="6"/>
  <c r="CC3" i="6"/>
  <c r="CE1" i="6"/>
  <c r="CD3" i="6"/>
  <c r="CF1" i="6"/>
  <c r="CE3" i="6"/>
  <c r="CG1" i="6"/>
  <c r="CF3" i="6"/>
  <c r="CH1" i="6"/>
  <c r="CG3" i="6"/>
  <c r="CI1" i="6"/>
  <c r="CH3" i="6"/>
  <c r="CH5" i="6"/>
  <c r="CJ1" i="6"/>
  <c r="CI3" i="6"/>
  <c r="CK1" i="6"/>
  <c r="CJ3" i="6"/>
  <c r="CL1" i="6"/>
  <c r="CK3" i="6"/>
  <c r="CM1" i="6"/>
  <c r="CL3" i="6"/>
  <c r="CN1" i="6"/>
  <c r="CM3" i="6"/>
  <c r="CO1" i="6"/>
  <c r="CN3" i="6"/>
  <c r="CP1" i="6"/>
  <c r="CO3" i="6"/>
  <c r="CQ1" i="6"/>
  <c r="CP3" i="6"/>
  <c r="CR1" i="6"/>
  <c r="CQ3" i="6"/>
  <c r="CS1" i="6"/>
  <c r="CR3" i="6"/>
  <c r="CT1" i="6"/>
  <c r="CS3" i="6"/>
  <c r="CU1" i="6"/>
  <c r="CT3" i="6"/>
  <c r="CV1" i="6"/>
  <c r="CU3" i="6"/>
  <c r="CW1" i="6"/>
  <c r="CV3" i="6"/>
  <c r="CX1" i="6"/>
  <c r="CW3" i="6"/>
  <c r="CY1" i="6"/>
  <c r="CX3" i="6"/>
  <c r="CZ1" i="6"/>
  <c r="CY3" i="6"/>
  <c r="DA1" i="6"/>
  <c r="CZ3" i="6"/>
  <c r="DB1" i="6"/>
  <c r="DA3" i="6"/>
  <c r="DC1" i="6"/>
  <c r="DB3" i="6"/>
  <c r="DD1" i="6"/>
  <c r="DE1" i="6"/>
  <c r="DC3" i="6"/>
  <c r="DF1" i="6"/>
  <c r="DE3" i="6"/>
  <c r="DD3" i="6"/>
  <c r="DG1" i="6"/>
  <c r="DF3" i="6"/>
  <c r="DH1" i="6"/>
  <c r="DG3" i="6"/>
  <c r="DI1" i="6"/>
  <c r="DH3" i="6"/>
  <c r="DJ1" i="6"/>
  <c r="DI3" i="6"/>
  <c r="DK1" i="6"/>
  <c r="DJ3" i="6"/>
  <c r="DL1" i="6"/>
  <c r="DK3" i="6"/>
  <c r="DM1" i="6"/>
  <c r="DL3" i="6"/>
  <c r="DN1" i="6"/>
  <c r="DM3" i="6"/>
  <c r="DO1" i="6"/>
  <c r="DN3" i="6"/>
  <c r="DP1" i="6"/>
  <c r="DO3" i="6"/>
  <c r="DQ1" i="6"/>
  <c r="DP3" i="6"/>
  <c r="DR1" i="6"/>
  <c r="DQ3" i="6"/>
  <c r="DS1" i="6"/>
  <c r="DR3" i="6"/>
  <c r="DT1" i="6"/>
  <c r="DS3" i="6"/>
  <c r="DU1" i="6"/>
  <c r="DT3" i="6"/>
  <c r="DV1" i="6"/>
  <c r="DU3" i="6"/>
  <c r="DW1" i="6"/>
  <c r="DV3" i="6"/>
  <c r="DX1" i="6"/>
  <c r="DW3" i="6"/>
  <c r="DY1" i="6"/>
  <c r="DX3" i="6"/>
  <c r="DZ1" i="6"/>
  <c r="DY3" i="6"/>
  <c r="EA1" i="6"/>
  <c r="DZ3" i="6"/>
  <c r="EB1" i="6"/>
  <c r="EA3" i="6"/>
  <c r="EC1" i="6"/>
  <c r="EB3" i="6"/>
  <c r="ED1" i="6"/>
  <c r="EC3" i="6"/>
  <c r="EE1" i="6"/>
  <c r="ED3" i="6"/>
  <c r="EE3" i="6"/>
  <c r="T293" i="18"/>
  <c r="Q236" i="19" l="1"/>
  <c r="Q235" i="19" s="1"/>
  <c r="Q35" i="19"/>
  <c r="Q34" i="19" s="1"/>
  <c r="M34" i="19"/>
  <c r="M224" i="19"/>
  <c r="K284" i="19" s="1"/>
  <c r="M284" i="19" s="1"/>
  <c r="K285" i="19" s="1"/>
  <c r="M285" i="19" s="1"/>
  <c r="K286" i="19" s="1"/>
  <c r="M286" i="19" s="1"/>
  <c r="K287" i="19" s="1"/>
  <c r="M287" i="19" s="1"/>
  <c r="K288" i="19" s="1"/>
  <c r="M288" i="19" s="1"/>
  <c r="E77" i="5"/>
  <c r="E14" i="5"/>
  <c r="M125" i="19"/>
  <c r="M122" i="19"/>
  <c r="E15" i="5"/>
  <c r="K245" i="19"/>
  <c r="M245" i="19" s="1"/>
  <c r="K267" i="19" s="1"/>
  <c r="M267" i="19" s="1"/>
  <c r="K272" i="19" s="1"/>
  <c r="M272" i="19" s="1"/>
  <c r="K273" i="19" s="1"/>
  <c r="M273" i="19" s="1"/>
  <c r="K274" i="19" s="1"/>
  <c r="M274" i="19" s="1"/>
  <c r="K275" i="19" s="1"/>
  <c r="M275" i="19" s="1"/>
  <c r="K276" i="19" s="1"/>
  <c r="M276" i="19" s="1"/>
  <c r="K277" i="19" s="1"/>
  <c r="M277" i="19" s="1"/>
  <c r="K278" i="19" s="1"/>
  <c r="M278" i="19" s="1"/>
  <c r="K279" i="19" s="1"/>
  <c r="M279" i="19" s="1"/>
  <c r="K280" i="19" s="1"/>
  <c r="M280" i="19" s="1"/>
  <c r="K281" i="19" s="1"/>
  <c r="M281" i="19" s="1"/>
  <c r="K282" i="19" s="1"/>
  <c r="M282" i="19" s="1"/>
  <c r="K283" i="19" s="1"/>
  <c r="M283" i="19" s="1"/>
  <c r="K255" i="19"/>
  <c r="M255" i="19" s="1"/>
  <c r="K268" i="19" s="1"/>
  <c r="M268" i="19" s="1"/>
  <c r="K270" i="19" s="1"/>
  <c r="M270" i="19" s="1"/>
  <c r="Q118" i="19"/>
  <c r="K265" i="19"/>
  <c r="M265" i="19" s="1"/>
  <c r="W101" i="18"/>
  <c r="W106" i="18" s="1"/>
  <c r="W23" i="18"/>
  <c r="T23" i="18" s="1"/>
  <c r="Q125" i="19"/>
  <c r="K208" i="19"/>
  <c r="M208" i="19" s="1"/>
  <c r="Q208" i="19" s="1"/>
  <c r="Q119" i="19"/>
  <c r="Q122" i="19"/>
  <c r="W42" i="18"/>
  <c r="T42" i="18" s="1"/>
  <c r="Q24" i="19"/>
  <c r="K117" i="19"/>
  <c r="W27" i="19" s="1"/>
  <c r="E25" i="5"/>
  <c r="E21" i="5"/>
  <c r="E76" i="5"/>
  <c r="M141" i="19"/>
  <c r="Q141" i="19" s="1"/>
  <c r="E68" i="5"/>
  <c r="E69" i="5"/>
  <c r="E18" i="5"/>
  <c r="E20" i="5"/>
  <c r="E74" i="5"/>
  <c r="E22" i="5"/>
  <c r="C3" i="6"/>
  <c r="E13" i="5"/>
  <c r="U25" i="19"/>
  <c r="Y22" i="19"/>
  <c r="X22" i="19" s="1"/>
  <c r="U22" i="19" s="1"/>
  <c r="AE7" i="18"/>
  <c r="AF7" i="18" s="1"/>
  <c r="Q150" i="18"/>
  <c r="X147" i="18" s="1"/>
  <c r="Q152" i="18"/>
  <c r="Q151" i="18"/>
  <c r="DJ5" i="6"/>
  <c r="AM5" i="6"/>
  <c r="AW5" i="6"/>
  <c r="AV5" i="6"/>
  <c r="DS5" i="6"/>
  <c r="AG5" i="6"/>
  <c r="FB5" i="6"/>
  <c r="ES5" i="6"/>
  <c r="T224" i="18"/>
  <c r="T225" i="18" s="1"/>
  <c r="T226" i="18" s="1"/>
  <c r="W226" i="18" s="1"/>
  <c r="Q42" i="18"/>
  <c r="Q41" i="18"/>
  <c r="DZ5" i="6"/>
  <c r="P38" i="18"/>
  <c r="EA5" i="6"/>
  <c r="BL5" i="6"/>
  <c r="BC5" i="6"/>
  <c r="P44" i="18"/>
  <c r="CW5" i="6"/>
  <c r="BK5" i="6"/>
  <c r="Y5" i="6"/>
  <c r="DD5" i="6"/>
  <c r="CV5" i="6"/>
  <c r="EX5" i="6"/>
  <c r="Q108" i="18"/>
  <c r="T5" i="6"/>
  <c r="EI5" i="6"/>
  <c r="Q112" i="18"/>
  <c r="DE5" i="6"/>
  <c r="BS5" i="6"/>
  <c r="BJ5" i="6"/>
  <c r="EJ5" i="6"/>
  <c r="Q111" i="18"/>
  <c r="DR5" i="6"/>
  <c r="X5" i="6"/>
  <c r="EK5" i="6"/>
  <c r="Q110" i="18"/>
  <c r="DY5" i="6"/>
  <c r="CU5" i="6"/>
  <c r="AF5" i="6"/>
  <c r="ER5" i="6"/>
  <c r="CG5" i="6"/>
  <c r="BD5" i="6"/>
  <c r="CN5" i="6"/>
  <c r="S5" i="6"/>
  <c r="CA5" i="6"/>
  <c r="BR5" i="6"/>
  <c r="EM5" i="6"/>
  <c r="J5" i="6"/>
  <c r="AU5" i="6"/>
  <c r="CO5" i="6"/>
  <c r="DL5" i="6"/>
  <c r="DC5" i="6"/>
  <c r="Z266" i="18"/>
  <c r="EU5" i="6"/>
  <c r="CF5" i="6"/>
  <c r="Q6" i="18"/>
  <c r="AE5" i="6"/>
  <c r="I81" i="18"/>
  <c r="F13" i="3" s="1"/>
  <c r="FA5" i="6"/>
  <c r="DK5" i="6"/>
  <c r="BZ5" i="6"/>
  <c r="K5" i="6"/>
  <c r="H5" i="6"/>
  <c r="FD5" i="6"/>
  <c r="M5" i="6"/>
  <c r="EV5" i="6"/>
  <c r="Q7" i="18"/>
  <c r="DB5" i="6"/>
  <c r="CT5" i="6"/>
  <c r="BX5" i="6"/>
  <c r="AT5" i="6"/>
  <c r="R5" i="6"/>
  <c r="EW5" i="6"/>
  <c r="DX5" i="6"/>
  <c r="CL5" i="6"/>
  <c r="BH5" i="6"/>
  <c r="CD5" i="6"/>
  <c r="AC5" i="6"/>
  <c r="AP5" i="6"/>
  <c r="EZ5" i="6"/>
  <c r="DQ5" i="6"/>
  <c r="W5" i="6"/>
  <c r="DP5" i="6"/>
  <c r="BW5" i="6"/>
  <c r="DO5" i="6"/>
  <c r="CJ5" i="6"/>
  <c r="BO5" i="6"/>
  <c r="AZ5" i="6"/>
  <c r="AJ5" i="6"/>
  <c r="V5" i="6"/>
  <c r="Q5" i="6"/>
  <c r="EN5" i="6"/>
  <c r="AL5" i="6"/>
  <c r="EE5" i="6"/>
  <c r="DA5" i="6"/>
  <c r="EH5" i="6"/>
  <c r="CR5" i="6"/>
  <c r="CK5" i="6"/>
  <c r="BV5" i="6"/>
  <c r="BG5" i="6"/>
  <c r="AR5" i="6"/>
  <c r="FC5" i="6"/>
  <c r="W224" i="18"/>
  <c r="BQ5" i="6"/>
  <c r="BA5" i="6"/>
  <c r="AA5" i="6"/>
  <c r="DG5" i="6"/>
  <c r="CC5" i="6"/>
  <c r="AB5" i="6"/>
  <c r="L5" i="6"/>
  <c r="EP5" i="6"/>
  <c r="Q12" i="18"/>
  <c r="BB5" i="6"/>
  <c r="EG5" i="6"/>
  <c r="ED5" i="6"/>
  <c r="BN5" i="6"/>
  <c r="AY5" i="6"/>
  <c r="AI5" i="6"/>
  <c r="EQ5" i="6"/>
  <c r="Q14" i="18"/>
  <c r="DI5" i="6"/>
  <c r="BP5" i="6"/>
  <c r="EY5" i="6"/>
  <c r="Q9" i="18"/>
  <c r="CS5" i="6"/>
  <c r="DV5" i="6"/>
  <c r="DN5" i="6"/>
  <c r="DU5" i="6"/>
  <c r="BU5" i="6"/>
  <c r="AQ5" i="6"/>
  <c r="U5" i="6"/>
  <c r="P5" i="6"/>
  <c r="EF5" i="6"/>
  <c r="CM5" i="6"/>
  <c r="AD5" i="6"/>
  <c r="AK5" i="6"/>
  <c r="AS5" i="6"/>
  <c r="DH5" i="6"/>
  <c r="EC5" i="6"/>
  <c r="CQ5" i="6"/>
  <c r="BF5" i="6"/>
  <c r="EB5" i="6"/>
  <c r="DF5" i="6"/>
  <c r="CX5" i="6"/>
  <c r="CB5" i="6"/>
  <c r="EO5" i="6"/>
  <c r="CI5" i="6"/>
  <c r="AH5" i="6"/>
  <c r="I5" i="6"/>
  <c r="ET5" i="6"/>
  <c r="Q17" i="18"/>
  <c r="CE5" i="6"/>
  <c r="Q8" i="18"/>
  <c r="DW5" i="6"/>
  <c r="DM5" i="6"/>
  <c r="BM5" i="6"/>
  <c r="DT5" i="6"/>
  <c r="CP5" i="6"/>
  <c r="BT5" i="6"/>
  <c r="BE5" i="6"/>
  <c r="Z5" i="6"/>
  <c r="O5" i="6"/>
  <c r="F202" i="19"/>
  <c r="H202" i="19" s="1"/>
  <c r="F204" i="19" s="1"/>
  <c r="H204" i="19" s="1"/>
  <c r="F206" i="19" s="1"/>
  <c r="H206" i="19" s="1"/>
  <c r="F209" i="19" s="1"/>
  <c r="H209" i="19" s="1"/>
  <c r="F203" i="19"/>
  <c r="H203" i="19" s="1"/>
  <c r="F205" i="19" s="1"/>
  <c r="H205" i="19" s="1"/>
  <c r="K21" i="19"/>
  <c r="W21" i="19" s="1"/>
  <c r="M22" i="19"/>
  <c r="L223" i="19"/>
  <c r="W31" i="19"/>
  <c r="Z31" i="19" s="1"/>
  <c r="K151" i="19"/>
  <c r="R155" i="19"/>
  <c r="R159" i="19" s="1"/>
  <c r="K143" i="19"/>
  <c r="M142" i="19"/>
  <c r="Q142" i="19" s="1"/>
  <c r="H180" i="19"/>
  <c r="K66" i="19"/>
  <c r="E19" i="5"/>
  <c r="E16" i="5"/>
  <c r="E70" i="5"/>
  <c r="F139" i="19"/>
  <c r="M123" i="19"/>
  <c r="W45" i="18" s="1"/>
  <c r="T45" i="18" s="1"/>
  <c r="E26" i="5"/>
  <c r="E17" i="5"/>
  <c r="E23" i="5"/>
  <c r="E24" i="5"/>
  <c r="E73" i="5"/>
  <c r="E75" i="5"/>
  <c r="E72" i="5"/>
  <c r="Q121" i="19"/>
  <c r="K140" i="19"/>
  <c r="M111" i="19"/>
  <c r="M98" i="19" s="1"/>
  <c r="Y26" i="19" s="1"/>
  <c r="K98" i="19"/>
  <c r="Q106" i="19"/>
  <c r="Q110" i="19"/>
  <c r="Q18" i="19"/>
  <c r="P12" i="19"/>
  <c r="AC20" i="19" s="1"/>
  <c r="M21" i="19"/>
  <c r="K200" i="19" s="1"/>
  <c r="L21" i="19"/>
  <c r="Y21" i="19"/>
  <c r="X21" i="19" s="1"/>
  <c r="U21" i="19" s="1"/>
  <c r="Q25" i="19"/>
  <c r="Q321" i="19"/>
  <c r="G10" i="6"/>
  <c r="H10" i="6" s="1"/>
  <c r="I10" i="6" s="1"/>
  <c r="J10" i="6" s="1"/>
  <c r="K10" i="6" s="1"/>
  <c r="L10" i="6" s="1"/>
  <c r="M10" i="6" s="1"/>
  <c r="N10" i="6" s="1"/>
  <c r="O10" i="6" s="1"/>
  <c r="P10" i="6" s="1"/>
  <c r="Q10" i="6" s="1"/>
  <c r="R10" i="6" s="1"/>
  <c r="S10" i="6" s="1"/>
  <c r="T10" i="6" s="1"/>
  <c r="U10" i="6" s="1"/>
  <c r="V10" i="6" s="1"/>
  <c r="W10" i="6" s="1"/>
  <c r="X10" i="6" s="1"/>
  <c r="Y10" i="6" s="1"/>
  <c r="Z10" i="6" s="1"/>
  <c r="AA10" i="6" s="1"/>
  <c r="AB10" i="6" s="1"/>
  <c r="AC10" i="6" s="1"/>
  <c r="AD10" i="6" s="1"/>
  <c r="AE10" i="6" s="1"/>
  <c r="AF10" i="6" s="1"/>
  <c r="AG10" i="6" s="1"/>
  <c r="AH10" i="6" s="1"/>
  <c r="AI10" i="6" s="1"/>
  <c r="AJ10" i="6" s="1"/>
  <c r="AK10" i="6" s="1"/>
  <c r="AL10" i="6" s="1"/>
  <c r="AM10" i="6" s="1"/>
  <c r="AN10" i="6" s="1"/>
  <c r="AO10" i="6" s="1"/>
  <c r="AP10" i="6" s="1"/>
  <c r="AQ10" i="6" s="1"/>
  <c r="AR10" i="6" s="1"/>
  <c r="AS10" i="6" s="1"/>
  <c r="AT10" i="6" s="1"/>
  <c r="AU10" i="6" s="1"/>
  <c r="AV10" i="6" s="1"/>
  <c r="AW10" i="6" s="1"/>
  <c r="AX10" i="6" s="1"/>
  <c r="AY10" i="6" s="1"/>
  <c r="AZ10" i="6" s="1"/>
  <c r="BA10" i="6" s="1"/>
  <c r="BB10" i="6" s="1"/>
  <c r="BC10" i="6" s="1"/>
  <c r="BD10" i="6" s="1"/>
  <c r="BE10" i="6" s="1"/>
  <c r="BF10" i="6" s="1"/>
  <c r="BG10" i="6" s="1"/>
  <c r="BH10" i="6" s="1"/>
  <c r="BI10" i="6" s="1"/>
  <c r="BJ10" i="6" s="1"/>
  <c r="BK10" i="6" s="1"/>
  <c r="BL10" i="6" s="1"/>
  <c r="BM10" i="6" s="1"/>
  <c r="BN10" i="6" s="1"/>
  <c r="BO10" i="6" s="1"/>
  <c r="BP10" i="6" s="1"/>
  <c r="BQ10" i="6" s="1"/>
  <c r="BR10" i="6" s="1"/>
  <c r="BS10" i="6" s="1"/>
  <c r="BT10" i="6" s="1"/>
  <c r="BU10" i="6" s="1"/>
  <c r="BV10" i="6" s="1"/>
  <c r="BW10" i="6" s="1"/>
  <c r="BX10" i="6" s="1"/>
  <c r="BY10" i="6" s="1"/>
  <c r="BZ10" i="6" s="1"/>
  <c r="CA10" i="6" s="1"/>
  <c r="CB10" i="6" s="1"/>
  <c r="CC10" i="6" s="1"/>
  <c r="CD10" i="6" s="1"/>
  <c r="CE10" i="6" s="1"/>
  <c r="CF10" i="6" s="1"/>
  <c r="CG10" i="6" s="1"/>
  <c r="CH10" i="6" s="1"/>
  <c r="CI10" i="6" s="1"/>
  <c r="CJ10" i="6" s="1"/>
  <c r="CK10" i="6" s="1"/>
  <c r="CL10" i="6" s="1"/>
  <c r="CM10" i="6" s="1"/>
  <c r="CN10" i="6" s="1"/>
  <c r="CO10" i="6" s="1"/>
  <c r="CP10" i="6" s="1"/>
  <c r="CQ10" i="6" s="1"/>
  <c r="CR10" i="6" s="1"/>
  <c r="CS10" i="6" s="1"/>
  <c r="CT10" i="6" s="1"/>
  <c r="CU10" i="6" s="1"/>
  <c r="CV10" i="6" s="1"/>
  <c r="CW10" i="6" s="1"/>
  <c r="CX10" i="6" s="1"/>
  <c r="CY10" i="6" s="1"/>
  <c r="CZ10" i="6" s="1"/>
  <c r="DA10" i="6" s="1"/>
  <c r="DB10" i="6" s="1"/>
  <c r="DC10" i="6" s="1"/>
  <c r="DD10" i="6" s="1"/>
  <c r="DE10" i="6" s="1"/>
  <c r="DF10" i="6" s="1"/>
  <c r="DG10" i="6" s="1"/>
  <c r="DH10" i="6" s="1"/>
  <c r="DI10" i="6" s="1"/>
  <c r="DJ10" i="6" s="1"/>
  <c r="DK10" i="6" s="1"/>
  <c r="DL10" i="6" s="1"/>
  <c r="DM10" i="6" s="1"/>
  <c r="DN10" i="6" s="1"/>
  <c r="DO10" i="6" s="1"/>
  <c r="DP10" i="6" s="1"/>
  <c r="DQ10" i="6" s="1"/>
  <c r="DR10" i="6" s="1"/>
  <c r="DS10" i="6" s="1"/>
  <c r="DT10" i="6" s="1"/>
  <c r="DU10" i="6" s="1"/>
  <c r="DV10" i="6" s="1"/>
  <c r="DW10" i="6" s="1"/>
  <c r="DX10" i="6" s="1"/>
  <c r="DY10" i="6" s="1"/>
  <c r="DZ10" i="6" s="1"/>
  <c r="EA10" i="6" s="1"/>
  <c r="EB10" i="6" s="1"/>
  <c r="EC10" i="6" s="1"/>
  <c r="ED10" i="6" s="1"/>
  <c r="EE10" i="6" s="1"/>
  <c r="EF10" i="6" s="1"/>
  <c r="EG10" i="6" s="1"/>
  <c r="EH10" i="6" s="1"/>
  <c r="EI10" i="6" s="1"/>
  <c r="EJ10" i="6" s="1"/>
  <c r="EK10" i="6" s="1"/>
  <c r="EL10" i="6" s="1"/>
  <c r="EM10" i="6" s="1"/>
  <c r="EN10" i="6" s="1"/>
  <c r="EO10" i="6" s="1"/>
  <c r="EP10" i="6" s="1"/>
  <c r="D3" i="6"/>
  <c r="Q320" i="18"/>
  <c r="X319" i="18" s="1"/>
  <c r="F5" i="6"/>
  <c r="CY5" i="6"/>
  <c r="CZ5" i="6"/>
  <c r="AO5" i="6"/>
  <c r="AN5" i="6"/>
  <c r="G5" i="6"/>
  <c r="X335" i="18"/>
  <c r="U344" i="18" s="1"/>
  <c r="X217" i="18"/>
  <c r="U240" i="18"/>
  <c r="Q99" i="18"/>
  <c r="Q101" i="18"/>
  <c r="X138" i="18"/>
  <c r="U138" i="18" s="1"/>
  <c r="X81" i="18"/>
  <c r="X56" i="18"/>
  <c r="U56" i="18" s="1"/>
  <c r="Q29" i="18"/>
  <c r="Q30" i="18"/>
  <c r="Q28" i="18"/>
  <c r="G4" i="6"/>
  <c r="AX5" i="6"/>
  <c r="I319" i="18"/>
  <c r="Z316" i="18"/>
  <c r="H20" i="3"/>
  <c r="U280" i="18"/>
  <c r="U282" i="18"/>
  <c r="U286" i="18"/>
  <c r="U277" i="18"/>
  <c r="U279" i="18"/>
  <c r="U287" i="18"/>
  <c r="U290" i="18"/>
  <c r="U291" i="18"/>
  <c r="U283" i="18"/>
  <c r="U288" i="18"/>
  <c r="U289" i="18"/>
  <c r="U292" i="18"/>
  <c r="U293" i="18"/>
  <c r="U278" i="18"/>
  <c r="U281" i="18"/>
  <c r="U284" i="18"/>
  <c r="U295" i="18"/>
  <c r="U276" i="18"/>
  <c r="U301" i="18"/>
  <c r="U303" i="18"/>
  <c r="U305" i="18"/>
  <c r="U307" i="18"/>
  <c r="U299" i="18"/>
  <c r="U302" i="18"/>
  <c r="U308" i="18"/>
  <c r="U296" i="18"/>
  <c r="U300" i="18"/>
  <c r="U273" i="18"/>
  <c r="U271" i="18"/>
  <c r="U266" i="18"/>
  <c r="H19" i="3"/>
  <c r="U267" i="18"/>
  <c r="J19" i="3"/>
  <c r="K19" i="3" s="1"/>
  <c r="U274" i="18"/>
  <c r="U313" i="18"/>
  <c r="U311" i="18"/>
  <c r="U312" i="18"/>
  <c r="U298" i="18"/>
  <c r="U306" i="18"/>
  <c r="U297" i="18"/>
  <c r="U294" i="18"/>
  <c r="U309" i="18"/>
  <c r="U268" i="18"/>
  <c r="U270" i="18"/>
  <c r="U314" i="18"/>
  <c r="U310" i="18"/>
  <c r="U269" i="18"/>
  <c r="U275" i="18"/>
  <c r="U304" i="18"/>
  <c r="U272" i="18"/>
  <c r="U285" i="18"/>
  <c r="J2" i="18"/>
  <c r="J4" i="18" s="1"/>
  <c r="N5" i="6"/>
  <c r="I147" i="18"/>
  <c r="BI5" i="6"/>
  <c r="I56" i="18"/>
  <c r="W24" i="18" l="1"/>
  <c r="K289" i="19"/>
  <c r="M289" i="19" s="1"/>
  <c r="K290" i="19" s="1"/>
  <c r="W33" i="18" s="1"/>
  <c r="K269" i="19"/>
  <c r="M269" i="19" s="1"/>
  <c r="K271" i="19"/>
  <c r="M271" i="19" s="1"/>
  <c r="Q224" i="19"/>
  <c r="E78" i="5"/>
  <c r="F78" i="5" s="1"/>
  <c r="L34" i="19"/>
  <c r="M290" i="19"/>
  <c r="K291" i="19" s="1"/>
  <c r="M291" i="19" s="1"/>
  <c r="K292" i="19" s="1"/>
  <c r="M292" i="19" s="1"/>
  <c r="K293" i="19" s="1"/>
  <c r="M293" i="19" s="1"/>
  <c r="K294" i="19" s="1"/>
  <c r="M294" i="19" s="1"/>
  <c r="K295" i="19" s="1"/>
  <c r="M295" i="19" s="1"/>
  <c r="K296" i="19" s="1"/>
  <c r="M296" i="19" s="1"/>
  <c r="W34" i="18"/>
  <c r="T34" i="18" s="1"/>
  <c r="Q21" i="19"/>
  <c r="E27" i="5"/>
  <c r="F27" i="5" s="1"/>
  <c r="EQ9" i="6" s="1"/>
  <c r="D9" i="6" s="1"/>
  <c r="W225" i="18"/>
  <c r="X21" i="18"/>
  <c r="U21" i="18" s="1"/>
  <c r="U156" i="18"/>
  <c r="U163" i="18"/>
  <c r="U164" i="18"/>
  <c r="U161" i="18"/>
  <c r="U154" i="18"/>
  <c r="U157" i="18"/>
  <c r="Q44" i="18"/>
  <c r="Q45" i="18"/>
  <c r="U159" i="18"/>
  <c r="Q39" i="18"/>
  <c r="Q38" i="18"/>
  <c r="X6" i="18"/>
  <c r="U17" i="18" s="1"/>
  <c r="U166" i="18"/>
  <c r="U149" i="18"/>
  <c r="U150" i="18"/>
  <c r="U158" i="18"/>
  <c r="U173" i="18"/>
  <c r="U165" i="18"/>
  <c r="U170" i="18"/>
  <c r="U167" i="18"/>
  <c r="I2" i="18"/>
  <c r="U172" i="18"/>
  <c r="U162" i="18"/>
  <c r="H16" i="3"/>
  <c r="U151" i="18"/>
  <c r="U153" i="18"/>
  <c r="U171" i="18"/>
  <c r="U174" i="18"/>
  <c r="U175" i="18"/>
  <c r="U168" i="18"/>
  <c r="U148" i="18"/>
  <c r="J16" i="3"/>
  <c r="K16" i="3" s="1"/>
  <c r="U176" i="18"/>
  <c r="U155" i="18"/>
  <c r="U177" i="18"/>
  <c r="U169" i="18"/>
  <c r="U147" i="18"/>
  <c r="U152" i="18"/>
  <c r="U160" i="18"/>
  <c r="K137" i="19"/>
  <c r="M117" i="19"/>
  <c r="F181" i="19"/>
  <c r="W32" i="18"/>
  <c r="T32" i="18" s="1"/>
  <c r="T33" i="18"/>
  <c r="M143" i="19"/>
  <c r="M151" i="19"/>
  <c r="Q151" i="19" s="1"/>
  <c r="H139" i="19"/>
  <c r="Q123" i="19"/>
  <c r="Q117" i="19" s="1"/>
  <c r="X31" i="19"/>
  <c r="U31" i="19" s="1"/>
  <c r="F208" i="19"/>
  <c r="H208" i="19" s="1"/>
  <c r="F210" i="19"/>
  <c r="H210" i="19" s="1"/>
  <c r="F211" i="19" s="1"/>
  <c r="H211" i="19" s="1"/>
  <c r="F212" i="19" s="1"/>
  <c r="H212" i="19" s="1"/>
  <c r="F207" i="19"/>
  <c r="H207" i="19" s="1"/>
  <c r="M66" i="19"/>
  <c r="Q66" i="19" s="1"/>
  <c r="R162" i="19"/>
  <c r="K158" i="19"/>
  <c r="W250" i="18"/>
  <c r="T250" i="18" s="1"/>
  <c r="M140" i="19"/>
  <c r="L98" i="19"/>
  <c r="W26" i="19"/>
  <c r="X26" i="19" s="1"/>
  <c r="U26" i="19" s="1"/>
  <c r="Q111" i="19"/>
  <c r="Q98" i="19" s="1"/>
  <c r="K203" i="19"/>
  <c r="M200" i="19"/>
  <c r="D5" i="6"/>
  <c r="F6" i="6"/>
  <c r="U353" i="18"/>
  <c r="U366" i="18"/>
  <c r="U359" i="18"/>
  <c r="U368" i="18"/>
  <c r="U360" i="18"/>
  <c r="U363" i="18"/>
  <c r="Z335" i="18"/>
  <c r="U358" i="18"/>
  <c r="U357" i="18"/>
  <c r="U356" i="18"/>
  <c r="U355" i="18"/>
  <c r="U354" i="18"/>
  <c r="U367" i="18"/>
  <c r="U365" i="18"/>
  <c r="U364" i="18"/>
  <c r="U362" i="18"/>
  <c r="U345" i="18"/>
  <c r="U346" i="18"/>
  <c r="U347" i="18"/>
  <c r="U348" i="18"/>
  <c r="U349" i="18"/>
  <c r="U350" i="18"/>
  <c r="U337" i="18"/>
  <c r="H22" i="3"/>
  <c r="U336" i="18"/>
  <c r="U340" i="18"/>
  <c r="U335" i="18"/>
  <c r="U341" i="18"/>
  <c r="J22" i="3"/>
  <c r="K22" i="3" s="1"/>
  <c r="U339" i="18"/>
  <c r="U342" i="18"/>
  <c r="U352" i="18"/>
  <c r="U351" i="18"/>
  <c r="U370" i="18"/>
  <c r="U369" i="18"/>
  <c r="U343" i="18"/>
  <c r="U361" i="18"/>
  <c r="U338" i="18"/>
  <c r="U242" i="18"/>
  <c r="U244" i="18"/>
  <c r="U241" i="18"/>
  <c r="U243" i="18"/>
  <c r="Z217" i="18"/>
  <c r="U249" i="18"/>
  <c r="U250" i="18"/>
  <c r="U252" i="18"/>
  <c r="U253" i="18"/>
  <c r="U255" i="18"/>
  <c r="U256" i="18"/>
  <c r="U245" i="18"/>
  <c r="U246" i="18"/>
  <c r="U234" i="18"/>
  <c r="U221" i="18"/>
  <c r="U237" i="18"/>
  <c r="U224" i="18"/>
  <c r="U257" i="18"/>
  <c r="U247" i="18"/>
  <c r="U218" i="18"/>
  <c r="U219" i="18"/>
  <c r="U259" i="18"/>
  <c r="U262" i="18"/>
  <c r="U236" i="18"/>
  <c r="H18" i="3"/>
  <c r="U222" i="18"/>
  <c r="U251" i="18"/>
  <c r="U223" i="18"/>
  <c r="U261" i="18"/>
  <c r="U230" i="18"/>
  <c r="U227" i="18"/>
  <c r="U225" i="18"/>
  <c r="U229" i="18"/>
  <c r="U248" i="18"/>
  <c r="U254" i="18"/>
  <c r="J18" i="3"/>
  <c r="K18" i="3" s="1"/>
  <c r="U220" i="18"/>
  <c r="U260" i="18"/>
  <c r="U258" i="18"/>
  <c r="U239" i="18"/>
  <c r="U217" i="18"/>
  <c r="U264" i="18"/>
  <c r="U233" i="18"/>
  <c r="U231" i="18"/>
  <c r="U263" i="18"/>
  <c r="U226" i="18"/>
  <c r="U235" i="18"/>
  <c r="U228" i="18"/>
  <c r="U238" i="18"/>
  <c r="U232" i="18"/>
  <c r="P104" i="18"/>
  <c r="Z138" i="18"/>
  <c r="U139" i="18"/>
  <c r="U143" i="18"/>
  <c r="H15" i="3"/>
  <c r="U145" i="18"/>
  <c r="U144" i="18"/>
  <c r="U141" i="18"/>
  <c r="J15" i="3"/>
  <c r="K15" i="3" s="1"/>
  <c r="U140" i="18"/>
  <c r="U142" i="18"/>
  <c r="U84" i="18"/>
  <c r="U87" i="18"/>
  <c r="U92" i="18"/>
  <c r="J13" i="3"/>
  <c r="K13" i="3" s="1"/>
  <c r="H13" i="3"/>
  <c r="U90" i="18"/>
  <c r="U89" i="18"/>
  <c r="U88" i="18"/>
  <c r="U86" i="18"/>
  <c r="U85" i="18"/>
  <c r="U91" i="18"/>
  <c r="U83" i="18"/>
  <c r="U82" i="18"/>
  <c r="U94" i="18"/>
  <c r="U93" i="18"/>
  <c r="U59" i="18"/>
  <c r="U63" i="18"/>
  <c r="U70" i="18"/>
  <c r="U78" i="18"/>
  <c r="J12" i="3"/>
  <c r="K12" i="3" s="1"/>
  <c r="U72" i="18"/>
  <c r="U76" i="18"/>
  <c r="U79" i="18"/>
  <c r="U64" i="18"/>
  <c r="U62" i="18"/>
  <c r="U61" i="18"/>
  <c r="U68" i="18"/>
  <c r="U75" i="18"/>
  <c r="U67" i="18"/>
  <c r="H12" i="3"/>
  <c r="U74" i="18"/>
  <c r="U60" i="18"/>
  <c r="U69" i="18"/>
  <c r="U71" i="18"/>
  <c r="U65" i="18"/>
  <c r="U66" i="18"/>
  <c r="U58" i="18"/>
  <c r="U57" i="18"/>
  <c r="U73" i="18"/>
  <c r="U77" i="18"/>
  <c r="H4" i="6"/>
  <c r="U325" i="18"/>
  <c r="U326" i="18"/>
  <c r="U327" i="18"/>
  <c r="U328" i="18"/>
  <c r="U329" i="18"/>
  <c r="U333" i="18"/>
  <c r="J21" i="3"/>
  <c r="K21" i="3" s="1"/>
  <c r="U331" i="18"/>
  <c r="H21" i="3"/>
  <c r="U332" i="18"/>
  <c r="U324" i="18"/>
  <c r="U321" i="18"/>
  <c r="U323" i="18"/>
  <c r="U322" i="18"/>
  <c r="F21" i="3"/>
  <c r="Z319" i="18"/>
  <c r="L20" i="3"/>
  <c r="N20" i="3"/>
  <c r="L19" i="3"/>
  <c r="N19" i="3"/>
  <c r="Z147" i="18"/>
  <c r="F16" i="3"/>
  <c r="Z56" i="18"/>
  <c r="F12" i="3"/>
  <c r="T24" i="18"/>
  <c r="W25" i="18"/>
  <c r="U320" i="18"/>
  <c r="V266" i="18"/>
  <c r="U330" i="18"/>
  <c r="U319" i="18"/>
  <c r="U81" i="18"/>
  <c r="Z81" i="18"/>
  <c r="U18" i="18" l="1"/>
  <c r="EQ10" i="6"/>
  <c r="ER10" i="6" s="1"/>
  <c r="ES10" i="6" s="1"/>
  <c r="ET10" i="6" s="1"/>
  <c r="EU10" i="6" s="1"/>
  <c r="EV10" i="6" s="1"/>
  <c r="EW10" i="6" s="1"/>
  <c r="EX10" i="6" s="1"/>
  <c r="EY10" i="6" s="1"/>
  <c r="EZ10" i="6" s="1"/>
  <c r="FA10" i="6" s="1"/>
  <c r="FB10" i="6" s="1"/>
  <c r="FC10" i="6" s="1"/>
  <c r="FD10" i="6" s="1"/>
  <c r="E39" i="5"/>
  <c r="M235" i="19"/>
  <c r="Y32" i="19" s="1"/>
  <c r="U6" i="18"/>
  <c r="N21" i="3"/>
  <c r="U9" i="18"/>
  <c r="H9" i="3"/>
  <c r="U8" i="18"/>
  <c r="U24" i="18"/>
  <c r="U32" i="18"/>
  <c r="U26" i="18"/>
  <c r="U25" i="18"/>
  <c r="H10" i="3"/>
  <c r="L10" i="3" s="1"/>
  <c r="U28" i="18"/>
  <c r="U30" i="18"/>
  <c r="U22" i="18"/>
  <c r="U34" i="18"/>
  <c r="U33" i="18"/>
  <c r="U23" i="18"/>
  <c r="U31" i="18"/>
  <c r="U35" i="18"/>
  <c r="U27" i="18"/>
  <c r="Z21" i="18"/>
  <c r="U29" i="18"/>
  <c r="J10" i="3"/>
  <c r="K10" i="3" s="1"/>
  <c r="X37" i="18"/>
  <c r="U38" i="18" s="1"/>
  <c r="U7" i="18"/>
  <c r="U14" i="18"/>
  <c r="U11" i="18"/>
  <c r="V81" i="18"/>
  <c r="U15" i="18"/>
  <c r="V147" i="18"/>
  <c r="Z6" i="18"/>
  <c r="U12" i="18"/>
  <c r="U19" i="18"/>
  <c r="N12" i="3"/>
  <c r="U10" i="18"/>
  <c r="J9" i="3"/>
  <c r="N9" i="3" s="1"/>
  <c r="U13" i="18"/>
  <c r="U16" i="18"/>
  <c r="V319" i="18"/>
  <c r="L16" i="3"/>
  <c r="N16" i="3"/>
  <c r="L21" i="3"/>
  <c r="F213" i="19"/>
  <c r="H213" i="19" s="1"/>
  <c r="F216" i="19" s="1"/>
  <c r="H216" i="19" s="1"/>
  <c r="F217" i="19" s="1"/>
  <c r="H217" i="19" s="1"/>
  <c r="F218" i="19" s="1"/>
  <c r="H218" i="19" s="1"/>
  <c r="F219" i="19" s="1"/>
  <c r="H219" i="19" s="1"/>
  <c r="F220" i="19" s="1"/>
  <c r="H220" i="19" s="1"/>
  <c r="F221" i="19" s="1"/>
  <c r="H221" i="19" s="1"/>
  <c r="F214" i="19"/>
  <c r="H214" i="19" s="1"/>
  <c r="F215" i="19" s="1"/>
  <c r="H215" i="19" s="1"/>
  <c r="K144" i="19"/>
  <c r="K147" i="19"/>
  <c r="H181" i="19"/>
  <c r="F140" i="19"/>
  <c r="Q143" i="19"/>
  <c r="K152" i="19"/>
  <c r="Y27" i="19"/>
  <c r="X27" i="19" s="1"/>
  <c r="U27" i="19" s="1"/>
  <c r="L117" i="19"/>
  <c r="M158" i="19"/>
  <c r="Q158" i="19" s="1"/>
  <c r="K73" i="19"/>
  <c r="M137" i="19"/>
  <c r="K138" i="19" s="1"/>
  <c r="M17" i="19"/>
  <c r="M14" i="19" s="1"/>
  <c r="Y20" i="19" s="1"/>
  <c r="K14" i="19"/>
  <c r="Q140" i="19"/>
  <c r="K201" i="19"/>
  <c r="W255" i="18"/>
  <c r="T255" i="18" s="1"/>
  <c r="M203" i="19"/>
  <c r="K205" i="19" s="1"/>
  <c r="Q200" i="19"/>
  <c r="L9" i="3"/>
  <c r="F7" i="6"/>
  <c r="G6" i="6"/>
  <c r="L22" i="3"/>
  <c r="N22" i="3"/>
  <c r="L18" i="3"/>
  <c r="N18" i="3"/>
  <c r="Q105" i="18"/>
  <c r="Q104" i="18"/>
  <c r="Q106" i="18"/>
  <c r="L15" i="3"/>
  <c r="N15" i="3"/>
  <c r="L13" i="3"/>
  <c r="N13" i="3"/>
  <c r="I4" i="6"/>
  <c r="F5" i="3"/>
  <c r="L12" i="3"/>
  <c r="T25" i="18"/>
  <c r="W26" i="18"/>
  <c r="V217" i="18"/>
  <c r="V138" i="18"/>
  <c r="V56" i="18"/>
  <c r="U39" i="18" l="1"/>
  <c r="V21" i="18"/>
  <c r="U48" i="18"/>
  <c r="U54" i="18"/>
  <c r="Z37" i="18"/>
  <c r="N10" i="3"/>
  <c r="U44" i="18"/>
  <c r="U45" i="18"/>
  <c r="H11" i="3"/>
  <c r="L11" i="3" s="1"/>
  <c r="U51" i="18"/>
  <c r="U37" i="18"/>
  <c r="U50" i="18"/>
  <c r="U47" i="18"/>
  <c r="U46" i="18"/>
  <c r="U52" i="18"/>
  <c r="U43" i="18"/>
  <c r="U42" i="18"/>
  <c r="U40" i="18"/>
  <c r="U49" i="18"/>
  <c r="U53" i="18"/>
  <c r="J11" i="3"/>
  <c r="K11" i="3" s="1"/>
  <c r="U41" i="18"/>
  <c r="V6" i="18"/>
  <c r="K9" i="3"/>
  <c r="W249" i="18"/>
  <c r="T249" i="18" s="1"/>
  <c r="M73" i="19"/>
  <c r="M57" i="19" s="1"/>
  <c r="Y23" i="19" s="1"/>
  <c r="K57" i="19"/>
  <c r="F199" i="19"/>
  <c r="F182" i="19"/>
  <c r="M138" i="19"/>
  <c r="K139" i="19" s="1"/>
  <c r="M147" i="19"/>
  <c r="K148" i="19"/>
  <c r="Q137" i="19"/>
  <c r="K159" i="19"/>
  <c r="K145" i="19"/>
  <c r="M144" i="19"/>
  <c r="Q144" i="19" s="1"/>
  <c r="F141" i="19"/>
  <c r="H140" i="19"/>
  <c r="W20" i="19"/>
  <c r="X20" i="19" s="1"/>
  <c r="U20" i="19" s="1"/>
  <c r="L14" i="19"/>
  <c r="K83" i="19"/>
  <c r="Q17" i="19"/>
  <c r="Q14" i="19" s="1"/>
  <c r="H199" i="19"/>
  <c r="G199" i="19" s="1"/>
  <c r="M152" i="19"/>
  <c r="K153" i="19" s="1"/>
  <c r="M205" i="19"/>
  <c r="Q203" i="19"/>
  <c r="M201" i="19"/>
  <c r="G7" i="6"/>
  <c r="H6" i="6"/>
  <c r="X97" i="18"/>
  <c r="U104" i="18" s="1"/>
  <c r="J4" i="6"/>
  <c r="F25" i="3"/>
  <c r="D5" i="5"/>
  <c r="T26" i="18"/>
  <c r="W30" i="18"/>
  <c r="V37" i="18" l="1"/>
  <c r="N11" i="3"/>
  <c r="U113" i="18"/>
  <c r="U135" i="18"/>
  <c r="U124" i="18"/>
  <c r="U130" i="18"/>
  <c r="U123" i="18"/>
  <c r="U131" i="18"/>
  <c r="U116" i="18"/>
  <c r="U117" i="18"/>
  <c r="U134" i="18"/>
  <c r="U118" i="18"/>
  <c r="U122" i="18"/>
  <c r="U119" i="18"/>
  <c r="U129" i="18"/>
  <c r="U120" i="18"/>
  <c r="U128" i="18"/>
  <c r="U133" i="18"/>
  <c r="U121" i="18"/>
  <c r="U125" i="18"/>
  <c r="U127" i="18"/>
  <c r="U132" i="18"/>
  <c r="U126" i="18"/>
  <c r="U114" i="18"/>
  <c r="U115" i="18"/>
  <c r="M139" i="19"/>
  <c r="Q139" i="19" s="1"/>
  <c r="F183" i="19"/>
  <c r="H183" i="19" s="1"/>
  <c r="F184" i="19" s="1"/>
  <c r="H184" i="19" s="1"/>
  <c r="F185" i="19" s="1"/>
  <c r="H185" i="19" s="1"/>
  <c r="F186" i="19" s="1"/>
  <c r="H186" i="19" s="1"/>
  <c r="F187" i="19" s="1"/>
  <c r="H187" i="19" s="1"/>
  <c r="F188" i="19" s="1"/>
  <c r="H188" i="19" s="1"/>
  <c r="H182" i="19"/>
  <c r="M148" i="19"/>
  <c r="K149" i="19" s="1"/>
  <c r="Q138" i="19"/>
  <c r="W24" i="19"/>
  <c r="M83" i="19"/>
  <c r="Y24" i="19" s="1"/>
  <c r="X24" i="19" s="1"/>
  <c r="U24" i="19" s="1"/>
  <c r="L57" i="19"/>
  <c r="W23" i="19"/>
  <c r="X23" i="19" s="1"/>
  <c r="U23" i="19" s="1"/>
  <c r="M159" i="19"/>
  <c r="Q159" i="19" s="1"/>
  <c r="K160" i="19"/>
  <c r="Q147" i="19"/>
  <c r="Q152" i="19"/>
  <c r="Q73" i="19"/>
  <c r="M153" i="19"/>
  <c r="K154" i="19" s="1"/>
  <c r="F142" i="19"/>
  <c r="H141" i="19"/>
  <c r="F151" i="19" s="1"/>
  <c r="H151" i="19" s="1"/>
  <c r="F158" i="19" s="1"/>
  <c r="H158" i="19" s="1"/>
  <c r="M145" i="19"/>
  <c r="K146" i="19" s="1"/>
  <c r="K202" i="19"/>
  <c r="Q201" i="19"/>
  <c r="K207" i="19"/>
  <c r="K210" i="19"/>
  <c r="Q205" i="19"/>
  <c r="H7" i="6"/>
  <c r="I6" i="6"/>
  <c r="U106" i="18"/>
  <c r="U105" i="18"/>
  <c r="U109" i="18"/>
  <c r="U107" i="18"/>
  <c r="U111" i="18"/>
  <c r="U110" i="18"/>
  <c r="U108" i="18"/>
  <c r="U112" i="18"/>
  <c r="H14" i="3"/>
  <c r="J14" i="3"/>
  <c r="U100" i="18"/>
  <c r="Z97" i="18"/>
  <c r="U101" i="18"/>
  <c r="U99" i="18"/>
  <c r="K4" i="6"/>
  <c r="D6" i="5"/>
  <c r="D7" i="5" s="1"/>
  <c r="C5" i="6"/>
  <c r="Q153" i="19" l="1"/>
  <c r="Q148" i="19"/>
  <c r="M146" i="19"/>
  <c r="Q146" i="19" s="1"/>
  <c r="M160" i="19"/>
  <c r="Q160" i="19" s="1"/>
  <c r="F190" i="19"/>
  <c r="H190" i="19" s="1"/>
  <c r="F189" i="19"/>
  <c r="H189" i="19" s="1"/>
  <c r="F191" i="19"/>
  <c r="H191" i="19" s="1"/>
  <c r="F192" i="19" s="1"/>
  <c r="H192" i="19" s="1"/>
  <c r="F193" i="19" s="1"/>
  <c r="H193" i="19" s="1"/>
  <c r="F194" i="19" s="1"/>
  <c r="H194" i="19" s="1"/>
  <c r="F195" i="19" s="1"/>
  <c r="H195" i="19" s="1"/>
  <c r="F196" i="19" s="1"/>
  <c r="H196" i="19" s="1"/>
  <c r="F197" i="19" s="1"/>
  <c r="H197" i="19" s="1"/>
  <c r="M149" i="19"/>
  <c r="K150" i="19" s="1"/>
  <c r="Q145" i="19"/>
  <c r="F143" i="19"/>
  <c r="H143" i="19" s="1"/>
  <c r="H142" i="19"/>
  <c r="M154" i="19"/>
  <c r="K155" i="19"/>
  <c r="W256" i="18"/>
  <c r="T256" i="18" s="1"/>
  <c r="M210" i="19"/>
  <c r="K211" i="19" s="1"/>
  <c r="M207" i="19"/>
  <c r="Q207" i="19" s="1"/>
  <c r="M202" i="19"/>
  <c r="Q202" i="19" s="1"/>
  <c r="I7" i="6"/>
  <c r="J6" i="6"/>
  <c r="L14" i="3"/>
  <c r="N14" i="3"/>
  <c r="K14" i="3"/>
  <c r="V97" i="18"/>
  <c r="L4" i="6"/>
  <c r="H179" i="19" l="1"/>
  <c r="M150" i="19"/>
  <c r="K168" i="19"/>
  <c r="M155" i="19"/>
  <c r="K156" i="19" s="1"/>
  <c r="Q154" i="19"/>
  <c r="K164" i="19"/>
  <c r="K161" i="19"/>
  <c r="F153" i="19"/>
  <c r="H153" i="19" s="1"/>
  <c r="F147" i="19"/>
  <c r="F144" i="19"/>
  <c r="F152" i="19"/>
  <c r="H152" i="19" s="1"/>
  <c r="Q149" i="19"/>
  <c r="F179" i="19"/>
  <c r="Q210" i="19"/>
  <c r="M211" i="19"/>
  <c r="K212" i="19" s="1"/>
  <c r="K204" i="19"/>
  <c r="J7" i="6"/>
  <c r="K6" i="6"/>
  <c r="M4" i="6"/>
  <c r="G179" i="19" l="1"/>
  <c r="M164" i="19"/>
  <c r="Q164" i="19" s="1"/>
  <c r="K165" i="19"/>
  <c r="M156" i="19"/>
  <c r="K157" i="19" s="1"/>
  <c r="F159" i="19"/>
  <c r="F154" i="19"/>
  <c r="Q155" i="19"/>
  <c r="K162" i="19"/>
  <c r="M161" i="19"/>
  <c r="Q150" i="19"/>
  <c r="M168" i="19"/>
  <c r="Q168" i="19" s="1"/>
  <c r="H144" i="19"/>
  <c r="F145" i="19"/>
  <c r="H145" i="19" s="1"/>
  <c r="F146" i="19" s="1"/>
  <c r="H146" i="19" s="1"/>
  <c r="H147" i="19"/>
  <c r="F148" i="19"/>
  <c r="H148" i="19" s="1"/>
  <c r="F149" i="19" s="1"/>
  <c r="H149" i="19" s="1"/>
  <c r="F150" i="19" s="1"/>
  <c r="M204" i="19"/>
  <c r="Q204" i="19" s="1"/>
  <c r="Q211" i="19"/>
  <c r="M212" i="19"/>
  <c r="K7" i="6"/>
  <c r="L6" i="6"/>
  <c r="N4" i="6"/>
  <c r="H150" i="19" l="1"/>
  <c r="F168" i="19"/>
  <c r="H168" i="19" s="1"/>
  <c r="Q161" i="19"/>
  <c r="H154" i="19"/>
  <c r="F155" i="19"/>
  <c r="H155" i="19" s="1"/>
  <c r="F156" i="19" s="1"/>
  <c r="H156" i="19" s="1"/>
  <c r="F157" i="19" s="1"/>
  <c r="H159" i="19"/>
  <c r="F160" i="19"/>
  <c r="H160" i="19" s="1"/>
  <c r="K169" i="19"/>
  <c r="M157" i="19"/>
  <c r="Q156" i="19"/>
  <c r="M165" i="19"/>
  <c r="K166" i="19" s="1"/>
  <c r="K180" i="19"/>
  <c r="K179" i="19" s="1"/>
  <c r="M162" i="19"/>
  <c r="K163" i="19" s="1"/>
  <c r="K213" i="19"/>
  <c r="K214" i="19"/>
  <c r="Q212" i="19"/>
  <c r="K206" i="19"/>
  <c r="L7" i="6"/>
  <c r="M6" i="6"/>
  <c r="O4" i="6"/>
  <c r="Q162" i="19" l="1"/>
  <c r="M163" i="19"/>
  <c r="Q163" i="19" s="1"/>
  <c r="Q165" i="19"/>
  <c r="L179" i="19"/>
  <c r="W72" i="18"/>
  <c r="W74" i="18" s="1"/>
  <c r="T74" i="18" s="1"/>
  <c r="W253" i="18"/>
  <c r="T253" i="18" s="1"/>
  <c r="W29" i="19"/>
  <c r="H157" i="19"/>
  <c r="F169" i="19"/>
  <c r="H169" i="19" s="1"/>
  <c r="F171" i="19" s="1"/>
  <c r="H171" i="19" s="1"/>
  <c r="F172" i="19" s="1"/>
  <c r="H172" i="19" s="1"/>
  <c r="F173" i="19" s="1"/>
  <c r="H173" i="19" s="1"/>
  <c r="F174" i="19" s="1"/>
  <c r="H174" i="19" s="1"/>
  <c r="F175" i="19" s="1"/>
  <c r="H175" i="19" s="1"/>
  <c r="F176" i="19" s="1"/>
  <c r="H176" i="19" s="1"/>
  <c r="F177" i="19" s="1"/>
  <c r="F161" i="19"/>
  <c r="F164" i="19"/>
  <c r="M166" i="19"/>
  <c r="K167" i="19" s="1"/>
  <c r="M169" i="19"/>
  <c r="Q157" i="19"/>
  <c r="M206" i="19"/>
  <c r="M213" i="19"/>
  <c r="Q213" i="19" s="1"/>
  <c r="K209" i="19"/>
  <c r="W75" i="18"/>
  <c r="M214" i="19"/>
  <c r="K215" i="19" s="1"/>
  <c r="K225" i="19"/>
  <c r="M7" i="6"/>
  <c r="N6" i="6"/>
  <c r="P4" i="6"/>
  <c r="K171" i="19" l="1"/>
  <c r="K170" i="19"/>
  <c r="M167" i="19"/>
  <c r="Q166" i="19"/>
  <c r="F165" i="19"/>
  <c r="H165" i="19" s="1"/>
  <c r="F166" i="19" s="1"/>
  <c r="H166" i="19" s="1"/>
  <c r="F167" i="19" s="1"/>
  <c r="H164" i="19"/>
  <c r="H161" i="19"/>
  <c r="F162" i="19"/>
  <c r="H162" i="19" s="1"/>
  <c r="F163" i="19" s="1"/>
  <c r="H163" i="19" s="1"/>
  <c r="T72" i="18"/>
  <c r="W66" i="18"/>
  <c r="T66" i="18" s="1"/>
  <c r="Q169" i="19"/>
  <c r="Z29" i="19"/>
  <c r="X29" i="19"/>
  <c r="U29" i="19" s="1"/>
  <c r="H177" i="19"/>
  <c r="W252" i="18"/>
  <c r="T252" i="18" s="1"/>
  <c r="Q214" i="19"/>
  <c r="M215" i="19"/>
  <c r="Q215" i="19" s="1"/>
  <c r="M225" i="19"/>
  <c r="T75" i="18"/>
  <c r="K216" i="19"/>
  <c r="M209" i="19"/>
  <c r="Q209" i="19" s="1"/>
  <c r="Q206" i="19"/>
  <c r="N7" i="6"/>
  <c r="O6" i="6"/>
  <c r="Q4" i="6"/>
  <c r="Q225" i="19" l="1"/>
  <c r="Q223" i="19" s="1"/>
  <c r="H167" i="19"/>
  <c r="F170" i="19"/>
  <c r="H170" i="19" s="1"/>
  <c r="M170" i="19"/>
  <c r="Q167" i="19"/>
  <c r="W57" i="18"/>
  <c r="M171" i="19"/>
  <c r="Q171" i="19" s="1"/>
  <c r="W69" i="18"/>
  <c r="M216" i="19"/>
  <c r="O7" i="6"/>
  <c r="P6" i="6"/>
  <c r="R4" i="6"/>
  <c r="T69" i="18" l="1"/>
  <c r="W68" i="18"/>
  <c r="T68" i="18" s="1"/>
  <c r="W71" i="18"/>
  <c r="T71" i="18" s="1"/>
  <c r="H136" i="19"/>
  <c r="T57" i="18"/>
  <c r="W63" i="18"/>
  <c r="T63" i="18" s="1"/>
  <c r="W60" i="18"/>
  <c r="T60" i="18" s="1"/>
  <c r="K172" i="19"/>
  <c r="Q170" i="19"/>
  <c r="F136" i="19"/>
  <c r="G136" i="19" s="1"/>
  <c r="K217" i="19"/>
  <c r="Q216" i="19"/>
  <c r="P7" i="6"/>
  <c r="Q6" i="6"/>
  <c r="S4" i="6"/>
  <c r="M172" i="19" l="1"/>
  <c r="Q172" i="19" s="1"/>
  <c r="M217" i="19"/>
  <c r="Q7" i="6"/>
  <c r="R6" i="6"/>
  <c r="T4" i="6"/>
  <c r="K173" i="19" l="1"/>
  <c r="K218" i="19"/>
  <c r="Q217" i="19"/>
  <c r="R7" i="6"/>
  <c r="S6" i="6"/>
  <c r="U4" i="6"/>
  <c r="M173" i="19" l="1"/>
  <c r="Q173" i="19" s="1"/>
  <c r="M218" i="19"/>
  <c r="K219" i="19" s="1"/>
  <c r="S7" i="6"/>
  <c r="T6" i="6"/>
  <c r="V4" i="6"/>
  <c r="K174" i="19" l="1"/>
  <c r="Q218" i="19"/>
  <c r="M219" i="19"/>
  <c r="K220" i="19" s="1"/>
  <c r="T7" i="6"/>
  <c r="U6" i="6"/>
  <c r="W4" i="6"/>
  <c r="M174" i="19" l="1"/>
  <c r="M136" i="19" s="1"/>
  <c r="K136" i="19"/>
  <c r="M220" i="19"/>
  <c r="K221" i="19" s="1"/>
  <c r="Q219" i="19"/>
  <c r="U7" i="6"/>
  <c r="V6" i="6"/>
  <c r="X4" i="6"/>
  <c r="W28" i="19" l="1"/>
  <c r="L136" i="19"/>
  <c r="Y28" i="19"/>
  <c r="K302" i="19"/>
  <c r="M302" i="19" s="1"/>
  <c r="K309" i="19" s="1"/>
  <c r="M309" i="19" s="1"/>
  <c r="M301" i="19" s="1"/>
  <c r="K301" i="19"/>
  <c r="Q174" i="19"/>
  <c r="Q136" i="19" s="1"/>
  <c r="M221" i="19"/>
  <c r="M199" i="19" s="1"/>
  <c r="Y30" i="19" s="1"/>
  <c r="K199" i="19"/>
  <c r="Q220" i="19"/>
  <c r="V7" i="6"/>
  <c r="W6" i="6"/>
  <c r="Y4" i="6"/>
  <c r="Z28" i="19" l="1"/>
  <c r="X28" i="19"/>
  <c r="U28" i="19" s="1"/>
  <c r="K317" i="19"/>
  <c r="Y33" i="19"/>
  <c r="W33" i="19"/>
  <c r="W138" i="18"/>
  <c r="L301" i="19"/>
  <c r="P6" i="19"/>
  <c r="L199" i="19"/>
  <c r="W30" i="19"/>
  <c r="K235" i="19"/>
  <c r="Q221" i="19"/>
  <c r="Q199" i="19" s="1"/>
  <c r="Q12" i="19" s="1"/>
  <c r="X30" i="19"/>
  <c r="U30" i="19" s="1"/>
  <c r="Z30" i="19"/>
  <c r="W7" i="6"/>
  <c r="X6" i="6"/>
  <c r="Z4" i="6"/>
  <c r="O380" i="18" l="1"/>
  <c r="Q377" i="18" s="1"/>
  <c r="X372" i="18" s="1"/>
  <c r="X33" i="19"/>
  <c r="U33" i="19" s="1"/>
  <c r="Z33" i="19"/>
  <c r="W34" i="19"/>
  <c r="M317" i="19"/>
  <c r="W139" i="18"/>
  <c r="T138" i="18"/>
  <c r="W32" i="19"/>
  <c r="L235" i="19"/>
  <c r="X7" i="6"/>
  <c r="Y6" i="6"/>
  <c r="AA4" i="6"/>
  <c r="T139" i="18" l="1"/>
  <c r="W141" i="18"/>
  <c r="Y34" i="19"/>
  <c r="K321" i="19"/>
  <c r="U377" i="18"/>
  <c r="U380" i="18"/>
  <c r="U381" i="18"/>
  <c r="Z372" i="18"/>
  <c r="U372" i="18"/>
  <c r="U386" i="18"/>
  <c r="U375" i="18"/>
  <c r="U387" i="18"/>
  <c r="H23" i="3"/>
  <c r="U393" i="18"/>
  <c r="U384" i="18"/>
  <c r="U376" i="18"/>
  <c r="J23" i="3"/>
  <c r="U379" i="18"/>
  <c r="U373" i="18"/>
  <c r="U391" i="18"/>
  <c r="U390" i="18"/>
  <c r="U382" i="18"/>
  <c r="U394" i="18"/>
  <c r="U388" i="18"/>
  <c r="U378" i="18"/>
  <c r="U392" i="18"/>
  <c r="U374" i="18"/>
  <c r="U389" i="18"/>
  <c r="U385" i="18"/>
  <c r="Z32" i="19"/>
  <c r="X32" i="19"/>
  <c r="U32" i="19" s="1"/>
  <c r="Y7" i="6"/>
  <c r="Z6" i="6"/>
  <c r="AB4" i="6"/>
  <c r="N23" i="3" l="1"/>
  <c r="L23" i="3"/>
  <c r="T141" i="18"/>
  <c r="Z34" i="19"/>
  <c r="X34" i="19"/>
  <c r="U34" i="19" s="1"/>
  <c r="M321" i="19"/>
  <c r="W35" i="19"/>
  <c r="K23" i="3"/>
  <c r="V372" i="18"/>
  <c r="Z7" i="6"/>
  <c r="AA6" i="6"/>
  <c r="AC4" i="6"/>
  <c r="Y35" i="19" l="1"/>
  <c r="X35" i="19" s="1"/>
  <c r="U35" i="19" s="1"/>
  <c r="AA7" i="6"/>
  <c r="AB6" i="6"/>
  <c r="AD4" i="6"/>
  <c r="AB7" i="6" l="1"/>
  <c r="AC6" i="6"/>
  <c r="AE4" i="6"/>
  <c r="AC7" i="6" l="1"/>
  <c r="AD6" i="6"/>
  <c r="AF4" i="6"/>
  <c r="AD7" i="6" l="1"/>
  <c r="AE6" i="6"/>
  <c r="AG4" i="6"/>
  <c r="AE7" i="6" l="1"/>
  <c r="AF6" i="6"/>
  <c r="AH4" i="6"/>
  <c r="AF7" i="6" l="1"/>
  <c r="AG6" i="6"/>
  <c r="AI4" i="6"/>
  <c r="AG7" i="6" l="1"/>
  <c r="AH6" i="6"/>
  <c r="AJ4" i="6"/>
  <c r="AH7" i="6" l="1"/>
  <c r="AI6" i="6"/>
  <c r="AK4" i="6"/>
  <c r="AI7" i="6" l="1"/>
  <c r="AJ6" i="6"/>
  <c r="AL4" i="6"/>
  <c r="AJ7" i="6" l="1"/>
  <c r="AK6" i="6"/>
  <c r="AM4" i="6"/>
  <c r="AK7" i="6" l="1"/>
  <c r="AL6" i="6"/>
  <c r="AN4" i="6"/>
  <c r="AL7" i="6" l="1"/>
  <c r="AM6" i="6"/>
  <c r="AO4" i="6"/>
  <c r="AM7" i="6" l="1"/>
  <c r="AN6" i="6"/>
  <c r="AP4" i="6"/>
  <c r="AN7" i="6" l="1"/>
  <c r="AO6" i="6"/>
  <c r="AQ4" i="6"/>
  <c r="AO7" i="6" l="1"/>
  <c r="AP6" i="6"/>
  <c r="AR4" i="6"/>
  <c r="AP7" i="6" l="1"/>
  <c r="AQ6" i="6"/>
  <c r="AS4" i="6"/>
  <c r="AQ7" i="6" l="1"/>
  <c r="AR6" i="6"/>
  <c r="AT4" i="6"/>
  <c r="AR7" i="6" l="1"/>
  <c r="AS6" i="6"/>
  <c r="AU4" i="6"/>
  <c r="AS7" i="6" l="1"/>
  <c r="AT6" i="6"/>
  <c r="AV4" i="6"/>
  <c r="AT7" i="6" l="1"/>
  <c r="AU6" i="6"/>
  <c r="AW4" i="6"/>
  <c r="AU7" i="6" l="1"/>
  <c r="AV6" i="6"/>
  <c r="AX4" i="6"/>
  <c r="AV7" i="6" l="1"/>
  <c r="AW6" i="6"/>
  <c r="AY4" i="6"/>
  <c r="AW7" i="6" l="1"/>
  <c r="AX6" i="6"/>
  <c r="AZ4" i="6"/>
  <c r="AX7" i="6" l="1"/>
  <c r="AY6" i="6"/>
  <c r="BA4" i="6"/>
  <c r="AY7" i="6" l="1"/>
  <c r="AZ6" i="6"/>
  <c r="BB4" i="6"/>
  <c r="AZ7" i="6" l="1"/>
  <c r="BA6" i="6"/>
  <c r="BC4" i="6"/>
  <c r="BA7" i="6" l="1"/>
  <c r="BB6" i="6"/>
  <c r="BD4" i="6"/>
  <c r="BB7" i="6" l="1"/>
  <c r="BC6" i="6"/>
  <c r="BE4" i="6"/>
  <c r="BC7" i="6" l="1"/>
  <c r="BD6" i="6"/>
  <c r="BF4" i="6"/>
  <c r="BD7" i="6" l="1"/>
  <c r="BE6" i="6"/>
  <c r="BG4" i="6"/>
  <c r="BE7" i="6" l="1"/>
  <c r="BF6" i="6"/>
  <c r="BH4" i="6"/>
  <c r="BF7" i="6" l="1"/>
  <c r="BG6" i="6"/>
  <c r="BI4" i="6"/>
  <c r="BG7" i="6" l="1"/>
  <c r="BH6" i="6"/>
  <c r="BJ4" i="6"/>
  <c r="BH7" i="6" l="1"/>
  <c r="BI6" i="6"/>
  <c r="BK4" i="6"/>
  <c r="BI7" i="6" l="1"/>
  <c r="BJ6" i="6"/>
  <c r="BL4" i="6"/>
  <c r="BJ7" i="6" l="1"/>
  <c r="BK6" i="6"/>
  <c r="BM4" i="6"/>
  <c r="BK7" i="6" l="1"/>
  <c r="BL6" i="6"/>
  <c r="BN4" i="6"/>
  <c r="BL7" i="6" l="1"/>
  <c r="BM6" i="6"/>
  <c r="BO4" i="6"/>
  <c r="BM7" i="6" l="1"/>
  <c r="BN6" i="6"/>
  <c r="BP4" i="6"/>
  <c r="BN7" i="6" l="1"/>
  <c r="BO6" i="6"/>
  <c r="BQ4" i="6"/>
  <c r="BO7" i="6" l="1"/>
  <c r="BP6" i="6"/>
  <c r="BR4" i="6"/>
  <c r="BP7" i="6" l="1"/>
  <c r="BQ6" i="6"/>
  <c r="BS4" i="6"/>
  <c r="BQ7" i="6" l="1"/>
  <c r="BR6" i="6"/>
  <c r="BT4" i="6"/>
  <c r="BR7" i="6" l="1"/>
  <c r="BS6" i="6"/>
  <c r="BU4" i="6"/>
  <c r="BS7" i="6" l="1"/>
  <c r="BT6" i="6"/>
  <c r="BV4" i="6"/>
  <c r="BT7" i="6" l="1"/>
  <c r="BU6" i="6"/>
  <c r="BW4" i="6"/>
  <c r="BU7" i="6" l="1"/>
  <c r="BV6" i="6"/>
  <c r="BX4" i="6"/>
  <c r="BV7" i="6" l="1"/>
  <c r="BW6" i="6"/>
  <c r="BY4" i="6"/>
  <c r="BW7" i="6" l="1"/>
  <c r="BX6" i="6"/>
  <c r="BZ4" i="6"/>
  <c r="BX7" i="6" l="1"/>
  <c r="BY6" i="6"/>
  <c r="CA4" i="6"/>
  <c r="BY7" i="6" l="1"/>
  <c r="BZ6" i="6"/>
  <c r="CB4" i="6"/>
  <c r="BZ7" i="6" l="1"/>
  <c r="CA6" i="6"/>
  <c r="CC4" i="6"/>
  <c r="CA7" i="6" l="1"/>
  <c r="CB6" i="6"/>
  <c r="CD4" i="6"/>
  <c r="CB7" i="6" l="1"/>
  <c r="CC6" i="6"/>
  <c r="CE4" i="6"/>
  <c r="CC7" i="6" l="1"/>
  <c r="CD6" i="6"/>
  <c r="CF4" i="6"/>
  <c r="CD7" i="6" l="1"/>
  <c r="CE6" i="6"/>
  <c r="CG4" i="6"/>
  <c r="CE7" i="6" l="1"/>
  <c r="CF6" i="6"/>
  <c r="CH4" i="6"/>
  <c r="CF7" i="6" l="1"/>
  <c r="CG6" i="6"/>
  <c r="CI4" i="6"/>
  <c r="CG7" i="6" l="1"/>
  <c r="CH6" i="6"/>
  <c r="CJ4" i="6"/>
  <c r="CH7" i="6" l="1"/>
  <c r="CI6" i="6"/>
  <c r="CK4" i="6"/>
  <c r="CI7" i="6" l="1"/>
  <c r="CJ6" i="6"/>
  <c r="CL4" i="6"/>
  <c r="CJ7" i="6" l="1"/>
  <c r="CK6" i="6"/>
  <c r="CM4" i="6"/>
  <c r="CK7" i="6" l="1"/>
  <c r="CL6" i="6"/>
  <c r="CN4" i="6"/>
  <c r="CL7" i="6" l="1"/>
  <c r="CM6" i="6"/>
  <c r="CO4" i="6"/>
  <c r="CM7" i="6" l="1"/>
  <c r="CN6" i="6"/>
  <c r="CP4" i="6"/>
  <c r="CN7" i="6" l="1"/>
  <c r="CO6" i="6"/>
  <c r="CQ4" i="6"/>
  <c r="CO7" i="6" l="1"/>
  <c r="CP6" i="6"/>
  <c r="CR4" i="6"/>
  <c r="CP7" i="6" l="1"/>
  <c r="CQ6" i="6"/>
  <c r="CS4" i="6"/>
  <c r="CQ7" i="6" l="1"/>
  <c r="CR6" i="6"/>
  <c r="CT4" i="6"/>
  <c r="CR7" i="6" l="1"/>
  <c r="CS6" i="6"/>
  <c r="CU4" i="6"/>
  <c r="CS7" i="6" l="1"/>
  <c r="CT6" i="6"/>
  <c r="CV4" i="6"/>
  <c r="CT7" i="6" l="1"/>
  <c r="CU6" i="6"/>
  <c r="CW4" i="6"/>
  <c r="CU7" i="6" l="1"/>
  <c r="CV6" i="6"/>
  <c r="CX4" i="6"/>
  <c r="CV7" i="6" l="1"/>
  <c r="CW6" i="6"/>
  <c r="CY4" i="6"/>
  <c r="CW7" i="6" l="1"/>
  <c r="CX6" i="6"/>
  <c r="CZ4" i="6"/>
  <c r="CX7" i="6" l="1"/>
  <c r="CY6" i="6"/>
  <c r="DA4" i="6"/>
  <c r="CY7" i="6" l="1"/>
  <c r="CZ6" i="6"/>
  <c r="DB4" i="6"/>
  <c r="CZ7" i="6" l="1"/>
  <c r="DA6" i="6"/>
  <c r="DC4" i="6"/>
  <c r="DA7" i="6" l="1"/>
  <c r="DB6" i="6"/>
  <c r="DD4" i="6"/>
  <c r="DB7" i="6" l="1"/>
  <c r="DC6" i="6"/>
  <c r="DE4" i="6"/>
  <c r="DC7" i="6" l="1"/>
  <c r="DD6" i="6"/>
  <c r="DF4" i="6"/>
  <c r="DD7" i="6" l="1"/>
  <c r="DE6" i="6"/>
  <c r="DG4" i="6"/>
  <c r="DE7" i="6" l="1"/>
  <c r="DF6" i="6"/>
  <c r="DH4" i="6"/>
  <c r="DF7" i="6" l="1"/>
  <c r="DG6" i="6"/>
  <c r="DI4" i="6"/>
  <c r="DG7" i="6" l="1"/>
  <c r="DH6" i="6"/>
  <c r="DJ4" i="6"/>
  <c r="DH7" i="6" l="1"/>
  <c r="DI6" i="6"/>
  <c r="DK4" i="6"/>
  <c r="DI7" i="6" l="1"/>
  <c r="DJ6" i="6"/>
  <c r="DL4" i="6"/>
  <c r="DJ7" i="6" l="1"/>
  <c r="DK6" i="6"/>
  <c r="DM4" i="6"/>
  <c r="DK7" i="6" l="1"/>
  <c r="DL6" i="6"/>
  <c r="DN4" i="6"/>
  <c r="DL7" i="6" l="1"/>
  <c r="DM6" i="6"/>
  <c r="DO4" i="6"/>
  <c r="DM7" i="6" l="1"/>
  <c r="DN6" i="6"/>
  <c r="DP4" i="6"/>
  <c r="DN7" i="6" l="1"/>
  <c r="DO6" i="6"/>
  <c r="DQ4" i="6"/>
  <c r="DO7" i="6" l="1"/>
  <c r="DP6" i="6"/>
  <c r="DR4" i="6"/>
  <c r="DP7" i="6" l="1"/>
  <c r="DQ6" i="6"/>
  <c r="DS4" i="6"/>
  <c r="DQ7" i="6" l="1"/>
  <c r="DR6" i="6"/>
  <c r="DT4" i="6"/>
  <c r="DR7" i="6" l="1"/>
  <c r="DS6" i="6"/>
  <c r="DU4" i="6"/>
  <c r="DS7" i="6" l="1"/>
  <c r="DT6" i="6"/>
  <c r="DV4" i="6"/>
  <c r="DT7" i="6" l="1"/>
  <c r="DU6" i="6"/>
  <c r="DW4" i="6"/>
  <c r="DU7" i="6" l="1"/>
  <c r="DV6" i="6"/>
  <c r="DX4" i="6"/>
  <c r="DV7" i="6" l="1"/>
  <c r="DW6" i="6"/>
  <c r="DY4" i="6"/>
  <c r="DW7" i="6" l="1"/>
  <c r="DX6" i="6"/>
  <c r="DZ4" i="6"/>
  <c r="DX7" i="6" l="1"/>
  <c r="DY6" i="6"/>
  <c r="EA4" i="6"/>
  <c r="DY7" i="6" l="1"/>
  <c r="DZ6" i="6"/>
  <c r="EB4" i="6"/>
  <c r="DZ7" i="6" l="1"/>
  <c r="EA6" i="6"/>
  <c r="EC4" i="6"/>
  <c r="EA7" i="6" l="1"/>
  <c r="EB6" i="6"/>
  <c r="ED4" i="6"/>
  <c r="EB7" i="6" l="1"/>
  <c r="EC6" i="6"/>
  <c r="EE4" i="6"/>
  <c r="EC7" i="6" l="1"/>
  <c r="ED6" i="6"/>
  <c r="EF4" i="6"/>
  <c r="ED7" i="6" l="1"/>
  <c r="EE6" i="6"/>
  <c r="EG4" i="6"/>
  <c r="EE7" i="6" l="1"/>
  <c r="EF6" i="6"/>
  <c r="EH4" i="6"/>
  <c r="EF7" i="6" l="1"/>
  <c r="EG6" i="6"/>
  <c r="EI4" i="6"/>
  <c r="EG7" i="6" l="1"/>
  <c r="EH6" i="6"/>
  <c r="EJ4" i="6"/>
  <c r="EH7" i="6" l="1"/>
  <c r="EI6" i="6"/>
  <c r="EK4" i="6"/>
  <c r="EI7" i="6" l="1"/>
  <c r="EJ6" i="6"/>
  <c r="EL4" i="6"/>
  <c r="EJ7" i="6" l="1"/>
  <c r="EK6" i="6"/>
  <c r="EM4" i="6"/>
  <c r="EK7" i="6" l="1"/>
  <c r="EL6" i="6"/>
  <c r="EN4" i="6"/>
  <c r="EL7" i="6" l="1"/>
  <c r="EM6" i="6"/>
  <c r="EO4" i="6"/>
  <c r="EM7" i="6" l="1"/>
  <c r="EN6" i="6"/>
  <c r="EP4" i="6"/>
  <c r="EN7" i="6" l="1"/>
  <c r="EO6" i="6"/>
  <c r="EQ4" i="6"/>
  <c r="EO7" i="6" l="1"/>
  <c r="EP6" i="6"/>
  <c r="ER4" i="6"/>
  <c r="EP7" i="6" l="1"/>
  <c r="EQ6" i="6"/>
  <c r="ES4" i="6"/>
  <c r="EQ7" i="6" l="1"/>
  <c r="ER6" i="6"/>
  <c r="ET4" i="6"/>
  <c r="ER7" i="6" l="1"/>
  <c r="ES6" i="6"/>
  <c r="EU4" i="6"/>
  <c r="ES7" i="6" l="1"/>
  <c r="ET6" i="6"/>
  <c r="EV4" i="6"/>
  <c r="ET7" i="6" l="1"/>
  <c r="EU6" i="6"/>
  <c r="EW4" i="6"/>
  <c r="EU7" i="6" l="1"/>
  <c r="EV6" i="6"/>
  <c r="EX4" i="6"/>
  <c r="EV7" i="6" l="1"/>
  <c r="EW6" i="6"/>
  <c r="EY4" i="6"/>
  <c r="EW7" i="6" l="1"/>
  <c r="EX6" i="6"/>
  <c r="EZ4" i="6"/>
  <c r="EX7" i="6" l="1"/>
  <c r="EY6" i="6"/>
  <c r="FA4" i="6"/>
  <c r="EY7" i="6" l="1"/>
  <c r="EZ6" i="6"/>
  <c r="FB4" i="6"/>
  <c r="EZ7" i="6" l="1"/>
  <c r="FA6" i="6"/>
  <c r="FC4" i="6"/>
  <c r="FA7" i="6" l="1"/>
  <c r="FB6" i="6"/>
  <c r="FD4" i="6"/>
  <c r="FB7" i="6" l="1"/>
  <c r="FC6" i="6"/>
  <c r="FC7" i="6" l="1"/>
  <c r="FD6" i="6"/>
  <c r="FD7" i="6" s="1"/>
  <c r="X179" i="18" l="1"/>
  <c r="U205" i="18" l="1"/>
  <c r="U196" i="18"/>
  <c r="U187" i="18"/>
  <c r="U212" i="18"/>
  <c r="U199" i="18"/>
  <c r="U200" i="18"/>
  <c r="U185" i="18"/>
  <c r="U206" i="18"/>
  <c r="U209" i="18"/>
  <c r="U208" i="18"/>
  <c r="U198" i="18"/>
  <c r="U204" i="18"/>
  <c r="U180" i="18"/>
  <c r="U188" i="18"/>
  <c r="J17" i="3"/>
  <c r="U189" i="18"/>
  <c r="Z179" i="18"/>
  <c r="Z3" i="18" s="1"/>
  <c r="U211" i="18"/>
  <c r="U203" i="18"/>
  <c r="U215" i="18"/>
  <c r="U192" i="18"/>
  <c r="U182" i="18"/>
  <c r="U194" i="18"/>
  <c r="U214" i="18"/>
  <c r="U181" i="18"/>
  <c r="U193" i="18"/>
  <c r="U207" i="18"/>
  <c r="U195" i="18"/>
  <c r="U201" i="18"/>
  <c r="U186" i="18"/>
  <c r="U190" i="18"/>
  <c r="H17" i="3"/>
  <c r="U197" i="18"/>
  <c r="U210" i="18"/>
  <c r="U213" i="18"/>
  <c r="U202" i="18"/>
  <c r="U183" i="18"/>
  <c r="U184" i="18"/>
  <c r="U191" i="18"/>
  <c r="X2" i="18"/>
  <c r="U179" i="18"/>
  <c r="L17" i="3" l="1"/>
  <c r="L5" i="3" s="1"/>
  <c r="H5" i="3"/>
  <c r="H25" i="3" s="1"/>
  <c r="N17" i="3"/>
  <c r="N5" i="3" s="1"/>
  <c r="V179" i="18"/>
  <c r="K17" i="3"/>
  <c r="K25" i="3" s="1"/>
  <c r="J5" i="3"/>
  <c r="F5" i="5" s="1"/>
  <c r="J25" i="3" l="1"/>
  <c r="C11" i="6"/>
  <c r="F6" i="5"/>
  <c r="F7" i="5" s="1"/>
  <c r="F28" i="5"/>
  <c r="F39" i="5" s="1"/>
  <c r="F17" i="6"/>
  <c r="F18" i="6" s="1"/>
  <c r="AV17" i="6"/>
  <c r="CM17" i="6"/>
  <c r="G17" i="6"/>
  <c r="N17" i="6"/>
  <c r="BS17" i="6"/>
  <c r="CV17" i="6"/>
  <c r="BG17" i="6"/>
  <c r="BC17" i="6"/>
  <c r="DU17" i="6"/>
  <c r="CL17" i="6"/>
  <c r="BN17" i="6"/>
  <c r="BJ17" i="6"/>
  <c r="CX17" i="6"/>
  <c r="DE17" i="6"/>
  <c r="BB17" i="6"/>
  <c r="FB17" i="6"/>
  <c r="BU17" i="6"/>
  <c r="BX17" i="6"/>
  <c r="AE17" i="6"/>
  <c r="CD17" i="6"/>
  <c r="BQ17" i="6"/>
  <c r="CN17" i="6"/>
  <c r="L17" i="6"/>
  <c r="DA17" i="6"/>
  <c r="AP17" i="6"/>
  <c r="DY17" i="6"/>
  <c r="DC17" i="6"/>
  <c r="AQ17" i="6"/>
  <c r="AC17" i="6"/>
  <c r="DQ17" i="6"/>
  <c r="EY17" i="6"/>
  <c r="EA17" i="6"/>
  <c r="AK17" i="6"/>
  <c r="AS17" i="6"/>
  <c r="BT17" i="6"/>
  <c r="ED17" i="6"/>
  <c r="AD17" i="6"/>
  <c r="J17" i="6"/>
  <c r="T17" i="6"/>
  <c r="K17" i="6"/>
  <c r="CB17" i="6"/>
  <c r="AJ17" i="6"/>
  <c r="U17" i="6"/>
  <c r="EB17" i="6"/>
  <c r="ET17" i="6"/>
  <c r="EV17" i="6"/>
  <c r="EP17" i="6"/>
  <c r="O17" i="6"/>
  <c r="R17" i="6"/>
  <c r="DL17" i="6"/>
  <c r="BZ17" i="6"/>
  <c r="CY17" i="6"/>
  <c r="CG17" i="6"/>
  <c r="CC17" i="6"/>
  <c r="CT17" i="6"/>
  <c r="DB17" i="6"/>
  <c r="Q17" i="6"/>
  <c r="W17" i="6"/>
  <c r="AX17" i="6"/>
  <c r="EC17" i="6"/>
  <c r="I17" i="6"/>
  <c r="EG17" i="6"/>
  <c r="DD17" i="6"/>
  <c r="CR17" i="6"/>
  <c r="DJ17" i="6"/>
  <c r="CF17" i="6"/>
  <c r="CW17" i="6"/>
  <c r="ES17" i="6"/>
  <c r="Y17" i="6"/>
  <c r="CH17" i="6"/>
  <c r="EN17" i="6"/>
  <c r="DT17" i="6"/>
  <c r="DS17" i="6"/>
  <c r="X17" i="6"/>
  <c r="DX17" i="6"/>
  <c r="AF17" i="6"/>
  <c r="BL17" i="6"/>
  <c r="AI17" i="6"/>
  <c r="DV17" i="6"/>
  <c r="CZ17" i="6"/>
  <c r="P17" i="6"/>
  <c r="DP17" i="6"/>
  <c r="EW17" i="6"/>
  <c r="AT17" i="6"/>
  <c r="BI17" i="6"/>
  <c r="CO17" i="6"/>
  <c r="EO17" i="6"/>
  <c r="BE17" i="6"/>
  <c r="EM17" i="6"/>
  <c r="DR17" i="6"/>
  <c r="DH17" i="6"/>
  <c r="AZ17" i="6"/>
  <c r="CU17" i="6"/>
  <c r="DW17" i="6"/>
  <c r="AN17" i="6"/>
  <c r="BP17" i="6"/>
  <c r="EX17" i="6"/>
  <c r="EH17" i="6"/>
  <c r="CI17" i="6"/>
  <c r="AL17" i="6"/>
  <c r="CP17" i="6"/>
  <c r="EI17" i="6"/>
  <c r="AU17" i="6"/>
  <c r="BW17" i="6"/>
  <c r="EQ17" i="6"/>
  <c r="M17" i="6"/>
  <c r="AB17" i="6"/>
  <c r="FA17" i="6"/>
  <c r="AA17" i="6"/>
  <c r="AY17" i="6"/>
  <c r="EJ17" i="6"/>
  <c r="AR17" i="6"/>
  <c r="EU17" i="6"/>
  <c r="CJ17" i="6"/>
  <c r="EK17" i="6"/>
  <c r="CS17" i="6"/>
  <c r="DO17" i="6"/>
  <c r="BY17" i="6"/>
  <c r="FD17" i="6"/>
  <c r="AW17" i="6"/>
  <c r="CK17" i="6"/>
  <c r="V17" i="6"/>
  <c r="BK17" i="6"/>
  <c r="BV17" i="6"/>
  <c r="DM17" i="6"/>
  <c r="BO17" i="6"/>
  <c r="EF17" i="6"/>
  <c r="AH17" i="6"/>
  <c r="DZ17" i="6"/>
  <c r="BH17" i="6"/>
  <c r="BM17" i="6"/>
  <c r="EZ17" i="6"/>
  <c r="BA17" i="6"/>
  <c r="EL17" i="6"/>
  <c r="H17" i="6"/>
  <c r="BF17" i="6"/>
  <c r="CA17" i="6"/>
  <c r="BD17" i="6"/>
  <c r="FC17" i="6"/>
  <c r="BR17" i="6"/>
  <c r="DK17" i="6"/>
  <c r="S17" i="6"/>
  <c r="Z17" i="6"/>
  <c r="AO17" i="6"/>
  <c r="DF17" i="6"/>
  <c r="DG17" i="6"/>
  <c r="DN17" i="6"/>
  <c r="EE17" i="6"/>
  <c r="DI17" i="6"/>
  <c r="AG17" i="6"/>
  <c r="CQ17" i="6"/>
  <c r="CE17" i="6"/>
  <c r="ER17" i="6"/>
  <c r="G11" i="6"/>
  <c r="AM17" i="6"/>
  <c r="CL11" i="6" l="1"/>
  <c r="AF11" i="6"/>
  <c r="V11" i="6"/>
  <c r="H11" i="6"/>
  <c r="AT11" i="6"/>
  <c r="BW11" i="6"/>
  <c r="BC11" i="6"/>
  <c r="DF11" i="6"/>
  <c r="FB11" i="6"/>
  <c r="EE11" i="6"/>
  <c r="DW11" i="6"/>
  <c r="BM11" i="6"/>
  <c r="S11" i="6"/>
  <c r="I11" i="6"/>
  <c r="ER11" i="6"/>
  <c r="ES11" i="6"/>
  <c r="DE11" i="6"/>
  <c r="CQ11" i="6"/>
  <c r="K11" i="6"/>
  <c r="DL11" i="6"/>
  <c r="D17" i="6"/>
  <c r="C17" i="6" s="1"/>
  <c r="CG11" i="6"/>
  <c r="AI11" i="6"/>
  <c r="AN11" i="6"/>
  <c r="CT11" i="6"/>
  <c r="EX11" i="6"/>
  <c r="DX11" i="6"/>
  <c r="BA11" i="6"/>
  <c r="DA11" i="6"/>
  <c r="EW11" i="6"/>
  <c r="DT11" i="6"/>
  <c r="BR11" i="6"/>
  <c r="DV11" i="6"/>
  <c r="CS11" i="6"/>
  <c r="DN11" i="6"/>
  <c r="EJ11" i="6"/>
  <c r="CK11" i="6"/>
  <c r="BU11" i="6"/>
  <c r="BL11" i="6"/>
  <c r="BD11" i="6"/>
  <c r="J11" i="6"/>
  <c r="CJ11" i="6"/>
  <c r="EI11" i="6"/>
  <c r="CI11" i="6"/>
  <c r="AP11" i="6"/>
  <c r="DH11" i="6"/>
  <c r="BP11" i="6"/>
  <c r="CE11" i="6"/>
  <c r="L11" i="6"/>
  <c r="AU11" i="6"/>
  <c r="EB11" i="6"/>
  <c r="BI11" i="6"/>
  <c r="DJ11" i="6"/>
  <c r="CR11" i="6"/>
  <c r="M11" i="6"/>
  <c r="BJ11" i="6"/>
  <c r="T11" i="6"/>
  <c r="CU11" i="6"/>
  <c r="AL11" i="6"/>
  <c r="AO11" i="6"/>
  <c r="AG11" i="6"/>
  <c r="AB11" i="6"/>
  <c r="EL11" i="6"/>
  <c r="AC11" i="6"/>
  <c r="BQ11" i="6"/>
  <c r="BV11" i="6"/>
  <c r="BS11" i="6"/>
  <c r="CM11" i="6"/>
  <c r="P11" i="6"/>
  <c r="G18" i="6"/>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AR11" i="6"/>
  <c r="DI11" i="6"/>
  <c r="DS11" i="6"/>
  <c r="DB11" i="6"/>
  <c r="AZ11" i="6"/>
  <c r="FD11" i="6"/>
  <c r="X11" i="6"/>
  <c r="DO11" i="6"/>
  <c r="AS11" i="6"/>
  <c r="BH11" i="6"/>
  <c r="BB11" i="6"/>
  <c r="DK11" i="6"/>
  <c r="EZ11" i="6"/>
  <c r="EY11" i="6"/>
  <c r="CN11" i="6"/>
  <c r="U11" i="6"/>
  <c r="FC11" i="6"/>
  <c r="EM11" i="6"/>
  <c r="CX11" i="6"/>
  <c r="CV11" i="6"/>
  <c r="DP11" i="6"/>
  <c r="CC11" i="6"/>
  <c r="AV11" i="6"/>
  <c r="AJ11" i="6"/>
  <c r="EA11" i="6"/>
  <c r="EK11" i="6"/>
  <c r="DZ11" i="6"/>
  <c r="EO11" i="6"/>
  <c r="DM11" i="6"/>
  <c r="EF11" i="6"/>
  <c r="F11" i="6"/>
  <c r="Z11" i="6"/>
  <c r="EP11" i="6"/>
  <c r="FA11" i="6"/>
  <c r="CY11" i="6"/>
  <c r="W11" i="6"/>
  <c r="CZ11" i="6"/>
  <c r="EH11" i="6"/>
  <c r="CA11" i="6"/>
  <c r="BT11" i="6"/>
  <c r="AW11" i="6"/>
  <c r="AE11" i="6"/>
  <c r="BY11" i="6"/>
  <c r="BX11" i="6"/>
  <c r="BG11" i="6"/>
  <c r="CF11" i="6"/>
  <c r="DD11" i="6"/>
  <c r="EC11" i="6"/>
  <c r="DG11" i="6"/>
  <c r="DC11" i="6"/>
  <c r="AK11" i="6"/>
  <c r="EQ11" i="6"/>
  <c r="O11" i="6"/>
  <c r="CW11" i="6"/>
  <c r="EG11" i="6"/>
  <c r="DU11" i="6"/>
  <c r="BO11" i="6"/>
  <c r="CO11" i="6"/>
  <c r="Q11" i="6"/>
  <c r="AX11" i="6"/>
  <c r="CD11" i="6"/>
  <c r="ED11" i="6"/>
  <c r="BN11" i="6"/>
  <c r="EV11" i="6"/>
  <c r="ET11" i="6"/>
  <c r="EN11" i="6"/>
  <c r="AQ11" i="6"/>
  <c r="EU11" i="6"/>
  <c r="Y11" i="6"/>
  <c r="BF11" i="6"/>
  <c r="AH11" i="6"/>
  <c r="DR11" i="6"/>
  <c r="R11" i="6"/>
  <c r="N11" i="6"/>
  <c r="CP11" i="6"/>
  <c r="DY11" i="6"/>
  <c r="CH11" i="6"/>
  <c r="AM11" i="6"/>
  <c r="AY11" i="6"/>
  <c r="AD11" i="6"/>
  <c r="CB11" i="6"/>
  <c r="BE11" i="6"/>
  <c r="BK11" i="6"/>
  <c r="BZ11" i="6"/>
  <c r="AA11" i="6"/>
  <c r="DQ11" i="6"/>
  <c r="F12" i="6" l="1"/>
  <c r="D11" i="6"/>
  <c r="D25" i="6" s="1"/>
  <c r="D18" i="6"/>
  <c r="C18" i="6" s="1"/>
  <c r="G12" i="6" l="1"/>
  <c r="F14" i="6"/>
  <c r="H12" i="6" l="1"/>
  <c r="G14" i="6"/>
  <c r="I12" i="6" l="1"/>
  <c r="H14" i="6"/>
  <c r="I14" i="6" l="1"/>
  <c r="J12" i="6"/>
  <c r="J14" i="6" l="1"/>
  <c r="K12" i="6"/>
  <c r="K14" i="6" l="1"/>
  <c r="L12" i="6"/>
  <c r="M12" i="6" l="1"/>
  <c r="L14" i="6"/>
  <c r="N12" i="6" l="1"/>
  <c r="M14" i="6"/>
  <c r="N14" i="6" l="1"/>
  <c r="O12" i="6"/>
  <c r="P12" i="6" l="1"/>
  <c r="O14" i="6"/>
  <c r="Q12" i="6" l="1"/>
  <c r="P14" i="6"/>
  <c r="R12" i="6" l="1"/>
  <c r="Q14" i="6"/>
  <c r="S12" i="6" l="1"/>
  <c r="R14" i="6"/>
  <c r="T12" i="6" l="1"/>
  <c r="S14" i="6"/>
  <c r="T14" i="6" l="1"/>
  <c r="U12" i="6"/>
  <c r="V12" i="6" l="1"/>
  <c r="U14" i="6"/>
  <c r="V14" i="6" l="1"/>
  <c r="W12" i="6"/>
  <c r="X12" i="6" l="1"/>
  <c r="W14" i="6"/>
  <c r="Y12" i="6" l="1"/>
  <c r="X14" i="6"/>
  <c r="Y14" i="6" l="1"/>
  <c r="Z12" i="6"/>
  <c r="AA12" i="6" l="1"/>
  <c r="Z14" i="6"/>
  <c r="AB12" i="6" l="1"/>
  <c r="AA14" i="6"/>
  <c r="AC12" i="6" l="1"/>
  <c r="AB14" i="6"/>
  <c r="AD12" i="6" l="1"/>
  <c r="AC14" i="6"/>
  <c r="AE12" i="6" l="1"/>
  <c r="AD14" i="6"/>
  <c r="AE14" i="6" l="1"/>
  <c r="AF12" i="6"/>
  <c r="AF14" i="6" l="1"/>
  <c r="AG12" i="6"/>
  <c r="AG14" i="6" l="1"/>
  <c r="AH12" i="6"/>
  <c r="AI12" i="6" l="1"/>
  <c r="AH14" i="6"/>
  <c r="AJ12" i="6" l="1"/>
  <c r="AI14" i="6"/>
  <c r="AJ14" i="6" l="1"/>
  <c r="AK12" i="6"/>
  <c r="AL12" i="6" l="1"/>
  <c r="AK14" i="6"/>
  <c r="AM12" i="6" l="1"/>
  <c r="AL14" i="6"/>
  <c r="AN12" i="6" l="1"/>
  <c r="AM14" i="6"/>
  <c r="AO12" i="6" l="1"/>
  <c r="AN14" i="6"/>
  <c r="AP12" i="6" l="1"/>
  <c r="AO14" i="6"/>
  <c r="AP14" i="6" l="1"/>
  <c r="AQ12" i="6"/>
  <c r="AQ14" i="6" l="1"/>
  <c r="AR12" i="6"/>
  <c r="AR14" i="6" l="1"/>
  <c r="AS12" i="6"/>
  <c r="AT12" i="6" l="1"/>
  <c r="AS14" i="6"/>
  <c r="AU12" i="6" l="1"/>
  <c r="AT14" i="6"/>
  <c r="AU14" i="6" l="1"/>
  <c r="AV12" i="6"/>
  <c r="AW12" i="6" l="1"/>
  <c r="AV14" i="6"/>
  <c r="AX12" i="6" l="1"/>
  <c r="AW14" i="6"/>
  <c r="AY12" i="6" l="1"/>
  <c r="AX14" i="6"/>
  <c r="AZ12" i="6" l="1"/>
  <c r="AY14" i="6"/>
  <c r="BA12" i="6" l="1"/>
  <c r="AZ14" i="6"/>
  <c r="BA14" i="6" l="1"/>
  <c r="BB12" i="6"/>
  <c r="BB14" i="6" l="1"/>
  <c r="BC12" i="6"/>
  <c r="BC14" i="6" l="1"/>
  <c r="BD12" i="6"/>
  <c r="BE12" i="6" l="1"/>
  <c r="BD14" i="6"/>
  <c r="BF12" i="6" l="1"/>
  <c r="BE14" i="6"/>
  <c r="BF14" i="6" l="1"/>
  <c r="BG12" i="6"/>
  <c r="BH12" i="6" l="1"/>
  <c r="BG14" i="6"/>
  <c r="BI12" i="6" l="1"/>
  <c r="BH14" i="6"/>
  <c r="BJ12" i="6" l="1"/>
  <c r="BI14" i="6"/>
  <c r="BK12" i="6" l="1"/>
  <c r="BJ14" i="6"/>
  <c r="BL12" i="6" l="1"/>
  <c r="BK14" i="6"/>
  <c r="BL14" i="6" l="1"/>
  <c r="BM12" i="6"/>
  <c r="BM14" i="6" l="1"/>
  <c r="BN12" i="6"/>
  <c r="BN14" i="6" l="1"/>
  <c r="BO12" i="6"/>
  <c r="BP12" i="6" l="1"/>
  <c r="BO14" i="6"/>
  <c r="BQ12" i="6" l="1"/>
  <c r="BP14" i="6"/>
  <c r="BQ14" i="6" l="1"/>
  <c r="BR12" i="6"/>
  <c r="BS12" i="6" l="1"/>
  <c r="BR14" i="6"/>
  <c r="BT12" i="6" l="1"/>
  <c r="BS14" i="6"/>
  <c r="BU12" i="6" l="1"/>
  <c r="BT14" i="6"/>
  <c r="BV12" i="6" l="1"/>
  <c r="BU14" i="6"/>
  <c r="BW12" i="6" l="1"/>
  <c r="BV14" i="6"/>
  <c r="BW14" i="6" l="1"/>
  <c r="BX12" i="6"/>
  <c r="BX14" i="6" l="1"/>
  <c r="BY12" i="6"/>
  <c r="BY14" i="6" l="1"/>
  <c r="BZ12" i="6"/>
  <c r="CA12" i="6" l="1"/>
  <c r="BZ14" i="6"/>
  <c r="CB12" i="6" l="1"/>
  <c r="CA14" i="6"/>
  <c r="CB14" i="6" l="1"/>
  <c r="CC12" i="6"/>
  <c r="CD12" i="6" l="1"/>
  <c r="CC14" i="6"/>
  <c r="CE12" i="6" l="1"/>
  <c r="CD14" i="6"/>
  <c r="CF12" i="6" l="1"/>
  <c r="CE14" i="6"/>
  <c r="CG12" i="6" l="1"/>
  <c r="CF14" i="6"/>
  <c r="CH12" i="6" l="1"/>
  <c r="CG14" i="6"/>
  <c r="CH14" i="6" l="1"/>
  <c r="CI12" i="6"/>
  <c r="CI14" i="6" l="1"/>
  <c r="CJ12" i="6"/>
  <c r="CJ14" i="6" l="1"/>
  <c r="CK12" i="6"/>
  <c r="CL12" i="6" l="1"/>
  <c r="CK14" i="6"/>
  <c r="CM12" i="6" l="1"/>
  <c r="CL14" i="6"/>
  <c r="CM14" i="6" l="1"/>
  <c r="CN12" i="6"/>
  <c r="CO12" i="6" l="1"/>
  <c r="CN14" i="6"/>
  <c r="CP12" i="6" l="1"/>
  <c r="CO14" i="6"/>
  <c r="CQ12" i="6" l="1"/>
  <c r="CP14" i="6"/>
  <c r="CR12" i="6" l="1"/>
  <c r="CQ14" i="6"/>
  <c r="CS12" i="6" l="1"/>
  <c r="CR14" i="6"/>
  <c r="CS14" i="6" l="1"/>
  <c r="CT12" i="6"/>
  <c r="CT14" i="6" l="1"/>
  <c r="CU12" i="6"/>
  <c r="CU14" i="6" l="1"/>
  <c r="CV12" i="6"/>
  <c r="CW12" i="6" l="1"/>
  <c r="CV14" i="6"/>
  <c r="CX12" i="6" l="1"/>
  <c r="CW14" i="6"/>
  <c r="CX14" i="6" l="1"/>
  <c r="CY12" i="6"/>
  <c r="CZ12" i="6" l="1"/>
  <c r="CY14" i="6"/>
  <c r="DA12" i="6" l="1"/>
  <c r="CZ14" i="6"/>
  <c r="DB12" i="6" l="1"/>
  <c r="DA14" i="6"/>
  <c r="DC12" i="6" l="1"/>
  <c r="DB14" i="6"/>
  <c r="DD12" i="6" l="1"/>
  <c r="DC14" i="6"/>
  <c r="DE12" i="6" l="1"/>
  <c r="DD14" i="6"/>
  <c r="DE14" i="6" l="1"/>
  <c r="DF12" i="6"/>
  <c r="DF14" i="6" l="1"/>
  <c r="DG12" i="6"/>
  <c r="DH12" i="6" l="1"/>
  <c r="DG14" i="6"/>
  <c r="DI12" i="6" l="1"/>
  <c r="DH14" i="6"/>
  <c r="DI14" i="6" l="1"/>
  <c r="DJ12" i="6"/>
  <c r="DK12" i="6" l="1"/>
  <c r="DJ14" i="6"/>
  <c r="DL12" i="6" l="1"/>
  <c r="DK14" i="6"/>
  <c r="DM12" i="6" l="1"/>
  <c r="DL14" i="6"/>
  <c r="DN12" i="6" l="1"/>
  <c r="DM14" i="6"/>
  <c r="DO12" i="6" l="1"/>
  <c r="DN14" i="6"/>
  <c r="DO14" i="6" l="1"/>
  <c r="DP12" i="6"/>
  <c r="DP14" i="6" l="1"/>
  <c r="DQ12" i="6"/>
  <c r="DQ14" i="6" l="1"/>
  <c r="DR12" i="6"/>
  <c r="DS12" i="6" l="1"/>
  <c r="DR14" i="6"/>
  <c r="DT12" i="6" l="1"/>
  <c r="DS14" i="6"/>
  <c r="DT14" i="6" l="1"/>
  <c r="DU12" i="6"/>
  <c r="DV12" i="6" l="1"/>
  <c r="DU14" i="6"/>
  <c r="DW12" i="6" l="1"/>
  <c r="DV14" i="6"/>
  <c r="DX12" i="6" l="1"/>
  <c r="DW14" i="6"/>
  <c r="DY12" i="6" l="1"/>
  <c r="DX14" i="6"/>
  <c r="DZ12" i="6" l="1"/>
  <c r="DY14" i="6"/>
  <c r="DZ14" i="6" l="1"/>
  <c r="EA12" i="6"/>
  <c r="EB12" i="6" l="1"/>
  <c r="EA14" i="6"/>
  <c r="EB14" i="6" l="1"/>
  <c r="EC12" i="6"/>
  <c r="ED12" i="6" l="1"/>
  <c r="EC14" i="6"/>
  <c r="EE12" i="6" l="1"/>
  <c r="ED14" i="6"/>
  <c r="EE14" i="6" l="1"/>
  <c r="EF12" i="6"/>
  <c r="EG12" i="6" l="1"/>
  <c r="EF14" i="6"/>
  <c r="EH12" i="6" l="1"/>
  <c r="EG14" i="6"/>
  <c r="EI12" i="6" l="1"/>
  <c r="EH14" i="6"/>
  <c r="EJ12" i="6" l="1"/>
  <c r="EI14" i="6"/>
  <c r="EK12" i="6" l="1"/>
  <c r="EJ14" i="6"/>
  <c r="EL12" i="6" l="1"/>
  <c r="EK14" i="6"/>
  <c r="EL14" i="6" l="1"/>
  <c r="EM12" i="6"/>
  <c r="EM14" i="6" l="1"/>
  <c r="EN12" i="6"/>
  <c r="EO12" i="6" l="1"/>
  <c r="EN14" i="6"/>
  <c r="EP12" i="6" l="1"/>
  <c r="EO14" i="6"/>
  <c r="EP14" i="6" l="1"/>
  <c r="EQ12" i="6"/>
  <c r="ER12" i="6" l="1"/>
  <c r="EQ14" i="6"/>
  <c r="ES12" i="6" l="1"/>
  <c r="ER14" i="6"/>
  <c r="ET12" i="6" l="1"/>
  <c r="ES14" i="6"/>
  <c r="EU12" i="6" l="1"/>
  <c r="ET14" i="6"/>
  <c r="EV12" i="6" l="1"/>
  <c r="EU14" i="6"/>
  <c r="EV14" i="6" l="1"/>
  <c r="EW12" i="6"/>
  <c r="EW14" i="6" l="1"/>
  <c r="EX12" i="6"/>
  <c r="EX14" i="6" l="1"/>
  <c r="EY12" i="6"/>
  <c r="EZ12" i="6" l="1"/>
  <c r="EY14" i="6"/>
  <c r="FA12" i="6" l="1"/>
  <c r="EZ14" i="6"/>
  <c r="FA14" i="6" l="1"/>
  <c r="FB12" i="6"/>
  <c r="FC12" i="6" l="1"/>
  <c r="FB14"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9"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51"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<sst xmlns="http://schemas.openxmlformats.org/spreadsheetml/2006/main" count="2726" uniqueCount="1376">
  <si>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</si>
  <si>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</si>
  <si>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</si>
  <si>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</si>
  <si>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</si>
  <si>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</si>
  <si>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</si>
  <si>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</si>
  <si>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</si>
  <si>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</si>
  <si>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</si>
  <si>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</si>
  <si>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</si>
  <si>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</si>
  <si>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</si>
  <si>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</si>
  <si>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</si>
  <si>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</si>
  <si>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</si>
  <si>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</si>
  <si>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</si>
  <si>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</si>
  <si>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</si>
  <si>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</si>
  <si>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</si>
  <si>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</si>
  <si>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</si>
  <si>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</si>
  <si>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</si>
  <si>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</si>
  <si>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</si>
  <si>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</si>
  <si>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</si>
  <si>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</si>
  <si>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</si>
  <si>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</si>
  <si>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</si>
  <si>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</si>
  <si>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</si>
  <si>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</si>
  <si>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</si>
  <si>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</si>
  <si>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</si>
  <si>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</si>
  <si>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</si>
  <si>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</si>
  <si>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</si>
  <si>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</si>
  <si>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</si>
  <si>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</si>
  <si>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</si>
  <si>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</si>
  <si>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</si>
  <si>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</si>
  <si>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</si>
  <si>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</si>
  <si>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</si>
  <si>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</si>
  <si>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</si>
  <si>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</si>
  <si>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</si>
  <si>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</si>
  <si>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</si>
  <si>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</si>
  <si>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</si>
  <si>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</si>
  <si>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</si>
  <si>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</si>
  <si>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</si>
  <si>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</si>
  <si>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</si>
  <si>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</si>
  <si>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</si>
  <si>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</si>
  <si>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</si>
  <si>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</si>
  <si>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</si>
  <si>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</si>
  <si>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</si>
  <si>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</si>
  <si>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</si>
  <si>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</si>
  <si>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</si>
  <si>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</si>
  <si>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</si>
  <si>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</si>
  <si>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</si>
  <si>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</si>
  <si>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</si>
  <si>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</si>
  <si>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</si>
  <si>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</si>
  <si>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</si>
  <si>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</si>
  <si>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</si>
  <si>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</si>
  <si>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</si>
  <si>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</si>
  <si>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</si>
  <si>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</si>
  <si>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</si>
  <si>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</si>
  <si>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</si>
  <si>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</si>
  <si>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</si>
  <si>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</si>
  <si>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</si>
  <si>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</si>
  <si>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</si>
  <si>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</si>
  <si>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</si>
  <si>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</si>
  <si>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</si>
  <si>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</si>
  <si>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</si>
  <si>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</si>
  <si>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</si>
  <si>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</si>
  <si>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</si>
  <si>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</si>
  <si>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</si>
  <si>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</si>
  <si>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</si>
  <si>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</si>
  <si>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</si>
  <si>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</si>
  <si>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</si>
  <si>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</si>
  <si>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</si>
  <si>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</si>
  <si>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</si>
  <si>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</si>
  <si>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</si>
  <si>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</si>
  <si>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</si>
  <si>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</si>
  <si>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</si>
  <si>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</si>
  <si>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</si>
  <si>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</si>
  <si>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</si>
  <si>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</si>
  <si>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</si>
  <si>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</si>
  <si>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</si>
  <si>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</si>
  <si>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</si>
  <si>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</si>
  <si>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</si>
  <si>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</si>
  <si>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</si>
  <si>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</si>
  <si>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</si>
  <si>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</si>
  <si>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</si>
  <si>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</si>
  <si>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</si>
  <si>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</si>
  <si>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</si>
  <si>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</si>
  <si>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</si>
  <si>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</si>
  <si>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</si>
  <si>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</si>
  <si>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</si>
  <si>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</si>
  <si>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</si>
  <si>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</si>
  <si>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</si>
  <si>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</si>
  <si>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</si>
  <si>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</si>
  <si>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</si>
  <si>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</si>
  <si>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</si>
  <si>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</si>
  <si>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</si>
  <si>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</si>
  <si>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</si>
  <si>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</si>
  <si>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</si>
  <si>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</si>
  <si>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</si>
  <si>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</si>
  <si>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</si>
  <si>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</si>
  <si>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</si>
  <si>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</si>
  <si>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</si>
  <si>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</si>
  <si>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</si>
  <si>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</si>
  <si>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</si>
  <si>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</si>
  <si>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</si>
  <si>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</si>
  <si>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</si>
  <si>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</si>
  <si>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</si>
  <si>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</si>
  <si>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</si>
  <si>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</si>
  <si>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</si>
  <si>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</si>
  <si>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</si>
  <si>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</si>
  <si>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</si>
  <si>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</si>
  <si>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</si>
  <si>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</si>
  <si>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</si>
  <si>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</si>
  <si>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</si>
  <si>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</si>
  <si>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</si>
  <si>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</si>
  <si>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</si>
  <si>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</si>
  <si>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</si>
  <si>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</si>
  <si>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</si>
  <si>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</si>
  <si>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</si>
  <si>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</si>
  <si>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</si>
  <si>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</si>
  <si>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</si>
  <si>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</si>
  <si>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</si>
  <si>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</si>
  <si>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</si>
  <si>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</si>
  <si>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</si>
  <si>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</si>
  <si>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</si>
  <si>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</si>
  <si>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</si>
  <si>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</si>
  <si>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</si>
  <si>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</si>
  <si>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</si>
  <si>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</si>
  <si>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</si>
  <si>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</si>
  <si>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</si>
  <si>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</si>
  <si>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</si>
  <si>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</si>
  <si>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</si>
  <si>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</si>
  <si>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</si>
  <si>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</si>
  <si>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</si>
  <si>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</si>
  <si>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</si>
  <si>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</si>
  <si>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</si>
  <si>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</si>
  <si>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</si>
  <si>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</si>
  <si>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</si>
  <si>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</si>
  <si>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</si>
  <si>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</si>
  <si>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</si>
  <si>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</si>
  <si>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</si>
  <si>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</si>
  <si>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</si>
  <si>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</si>
  <si>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</si>
  <si>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</si>
  <si>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</si>
  <si>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</si>
  <si>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</si>
  <si>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</si>
  <si>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</si>
  <si>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</si>
  <si>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</si>
  <si>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</si>
  <si>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</si>
  <si>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</si>
  <si>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</si>
  <si>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</si>
  <si>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</si>
  <si>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</si>
  <si>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</si>
  <si>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</si>
  <si>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</si>
  <si>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</si>
  <si>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</si>
  <si>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</si>
  <si>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</si>
  <si>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</si>
  <si>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</si>
  <si>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</si>
  <si>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</si>
  <si>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</si>
  <si>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</si>
  <si>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</si>
  <si>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</si>
  <si>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</si>
  <si>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</si>
  <si>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</si>
  <si>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</si>
  <si>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</si>
  <si>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</si>
  <si>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</si>
  <si>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</si>
  <si>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</si>
  <si>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</si>
  <si>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</si>
  <si>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</si>
  <si>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</si>
  <si>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</si>
  <si>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</si>
  <si>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</si>
  <si>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</si>
  <si>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</si>
  <si>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</si>
  <si>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</si>
  <si>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</si>
  <si>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</si>
  <si>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</si>
  <si>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</si>
  <si>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</si>
  <si>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</si>
  <si>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</si>
  <si>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</si>
  <si>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</si>
  <si>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</si>
  <si>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</si>
  <si>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</si>
  <si>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</si>
  <si>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</si>
  <si>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</si>
  <si>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</si>
  <si>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</si>
  <si>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</si>
  <si>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</si>
  <si>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</si>
  <si>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</si>
  <si>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Security Fencing and Alarms CC</t>
  </si>
  <si>
    <t>Date:</t>
  </si>
  <si>
    <t>Project:</t>
  </si>
  <si>
    <t>Address:</t>
  </si>
  <si>
    <t>PO Ref:</t>
  </si>
  <si>
    <t>Contact:</t>
  </si>
  <si>
    <t>Item #</t>
  </si>
  <si>
    <t xml:space="preserve">Part Number </t>
  </si>
  <si>
    <t>Unit</t>
  </si>
  <si>
    <t>Price per Unit</t>
  </si>
  <si>
    <t>Sub-Total</t>
  </si>
  <si>
    <t>Sub-Total:</t>
  </si>
  <si>
    <t xml:space="preserve">VAT: </t>
  </si>
  <si>
    <t>Total:</t>
  </si>
  <si>
    <t>Payment Terms</t>
  </si>
  <si>
    <t>All invoicing is to be sent to accounts@emergy.co.za &amp; shauns@emergentenergy.co.za</t>
  </si>
  <si>
    <t>Delivery Instructions</t>
  </si>
  <si>
    <t>Delivery date: TBC
Delivery address: TBC
Site Contact: TBC</t>
  </si>
  <si>
    <t>Notify the site contact when the order is dispatched.</t>
  </si>
  <si>
    <t xml:space="preserve">Project Manager:    </t>
  </si>
  <si>
    <t>Shaun Shrives</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</si>
  <si>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</si>
  <si>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</si>
  <si>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</si>
  <si>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</si>
  <si>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</si>
  <si>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</si>
  <si>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</si>
  <si>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</si>
  <si>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</si>
  <si>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</si>
  <si>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</si>
  <si>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</si>
  <si>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</si>
  <si>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</si>
  <si>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</si>
  <si>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</si>
  <si>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</si>
  <si>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</si>
  <si>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</si>
  <si>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</si>
  <si>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</si>
  <si>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</si>
  <si>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</si>
  <si>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</si>
  <si>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</si>
  <si>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</si>
  <si>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</si>
  <si>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</si>
  <si>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</si>
  <si>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</si>
  <si>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</si>
  <si>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</si>
  <si>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</si>
  <si>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</si>
  <si>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</si>
  <si>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</si>
  <si>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</si>
  <si>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</si>
  <si>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</si>
  <si>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</si>
  <si>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</si>
  <si>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</si>
  <si>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</si>
  <si>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</si>
  <si>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</si>
  <si>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</si>
  <si>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</si>
  <si>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</si>
  <si>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</si>
  <si>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</si>
  <si>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</si>
  <si>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</si>
  <si>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</si>
  <si>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</si>
  <si>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</si>
  <si>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</si>
  <si>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</si>
  <si>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</si>
  <si>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</si>
  <si>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</si>
  <si>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</si>
  <si>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</si>
  <si>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</si>
  <si>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</si>
  <si>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</si>
  <si>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</si>
  <si>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</si>
  <si>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</si>
  <si>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</si>
  <si>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</si>
  <si>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</si>
  <si>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</si>
  <si>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</si>
  <si>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</si>
  <si>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</si>
  <si>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</si>
  <si>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TBC</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</si>
  <si>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</si>
  <si>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</si>
  <si>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</si>
  <si>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</si>
  <si>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</si>
  <si>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</si>
  <si>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</si>
  <si>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</si>
  <si>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</si>
  <si>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</si>
  <si>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</si>
  <si>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</si>
  <si>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</si>
  <si>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</si>
  <si>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</si>
  <si>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</si>
  <si>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</si>
  <si>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</si>
  <si>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</si>
  <si>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</si>
  <si>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</si>
  <si>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</si>
  <si>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</si>
  <si>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</si>
  <si>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</si>
  <si>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</si>
  <si>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</si>
  <si>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</si>
  <si>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</si>
  <si>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</si>
  <si>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</si>
  <si>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</si>
  <si>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</si>
  <si>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</si>
  <si>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</si>
  <si>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</si>
  <si>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</si>
  <si>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</si>
  <si>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</si>
  <si>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</si>
  <si>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</si>
  <si>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</si>
  <si>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</si>
  <si>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</si>
  <si>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</si>
  <si>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</si>
  <si>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</si>
  <si>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</si>
  <si>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</si>
  <si>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</si>
  <si>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</si>
  <si>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</si>
  <si>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</si>
  <si>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</si>
  <si>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PROJECT SIZE (kWp)</t>
  </si>
  <si>
    <t>SITE ADDRESS</t>
  </si>
  <si>
    <t>BUSINESS DEVELOPER</t>
  </si>
  <si>
    <t>Kirsten</t>
  </si>
  <si>
    <t>PROJECT MANAGERS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</si>
  <si>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</si>
  <si>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</si>
  <si>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</si>
  <si>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</si>
  <si>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</si>
  <si>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</si>
  <si>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</si>
  <si>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</si>
  <si>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</si>
  <si>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</si>
  <si>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</si>
  <si>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</si>
  <si>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</si>
  <si>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</si>
  <si>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</si>
  <si>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</si>
  <si>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</si>
  <si>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</si>
  <si>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</si>
  <si>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</si>
  <si>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</si>
  <si>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</si>
  <si>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</si>
  <si>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</si>
  <si>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</si>
  <si>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</si>
  <si>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</si>
  <si>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</si>
  <si>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</si>
  <si>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</si>
  <si>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</si>
  <si>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</si>
  <si>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</si>
  <si>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</si>
  <si>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</si>
  <si>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</si>
  <si>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</si>
  <si>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</si>
  <si>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</si>
  <si>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</si>
  <si>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</si>
  <si>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</si>
  <si>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</si>
  <si>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</si>
  <si>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</si>
  <si>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</si>
  <si>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</si>
  <si>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</si>
  <si>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</si>
  <si>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</si>
  <si>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</si>
  <si>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</si>
  <si>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</si>
  <si>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</si>
  <si>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</si>
  <si>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</si>
  <si>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</si>
  <si>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</si>
  <si>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</si>
  <si>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Brown Field - Fiducia Construction CC - Catladder HSE</t>
  </si>
  <si>
    <t>Brown Field - RSLP</t>
  </si>
  <si>
    <t>HSEC Registration and Safety File - JA Electrical</t>
  </si>
  <si>
    <t>HSEC Registration and Safety File - SCO</t>
  </si>
  <si>
    <t>HSEC Registration and Safety File - Vedusha Construction</t>
  </si>
  <si>
    <t>HSEC Registration and Safety File - LogiVest</t>
  </si>
  <si>
    <t>Work Permit at Department of Labour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</si>
  <si>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</si>
  <si>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</si>
  <si>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</si>
  <si>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</si>
  <si>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</si>
  <si>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</si>
  <si>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</si>
  <si>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</si>
  <si>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</si>
  <si>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</si>
  <si>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</si>
  <si>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</si>
  <si>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</si>
  <si>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</si>
  <si>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</si>
  <si>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</si>
  <si>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</si>
  <si>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</si>
  <si>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</si>
  <si>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</si>
  <si>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</si>
  <si>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</si>
  <si>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</si>
  <si>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</si>
  <si>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</si>
  <si>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</si>
  <si>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</si>
  <si>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</si>
  <si>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</si>
  <si>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</si>
  <si>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</si>
  <si>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</si>
  <si>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</si>
  <si>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</si>
  <si>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</si>
  <si>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</si>
  <si>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</si>
  <si>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</si>
  <si>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</si>
  <si>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</si>
  <si>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</si>
  <si>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</si>
  <si>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</si>
  <si>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</si>
  <si>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</si>
  <si>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</si>
  <si>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</si>
  <si>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</si>
  <si>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</si>
  <si>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</si>
  <si>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</si>
  <si>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</si>
  <si>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</si>
  <si>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</si>
  <si>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</si>
  <si>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</si>
  <si>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</si>
  <si>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</si>
  <si>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</si>
  <si>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</si>
  <si>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</si>
  <si>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</si>
  <si>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</si>
  <si>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</si>
  <si>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</si>
  <si>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</si>
  <si>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</si>
  <si>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</si>
  <si>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</si>
  <si>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</si>
  <si>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</si>
  <si>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</si>
  <si>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</si>
  <si>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</si>
  <si>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</si>
  <si>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</si>
  <si>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</si>
  <si>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</si>
  <si>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</si>
  <si>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</si>
  <si>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</si>
  <si>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</si>
  <si>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</si>
  <si>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</si>
  <si>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</si>
  <si>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</si>
  <si>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</si>
  <si>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</si>
  <si>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</si>
  <si>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</si>
  <si>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</si>
  <si>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</si>
  <si>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</si>
  <si>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</si>
  <si>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</si>
  <si>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</si>
  <si>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</si>
  <si>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</si>
  <si>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</si>
  <si>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</si>
  <si>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</si>
  <si>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</si>
  <si>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</si>
  <si>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</si>
  <si>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</si>
  <si>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</si>
  <si>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</si>
  <si>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</si>
  <si>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</si>
  <si>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</si>
  <si>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</si>
  <si>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</si>
  <si>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</si>
  <si>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</si>
  <si>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</si>
  <si>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</si>
  <si>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</si>
  <si>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</si>
  <si>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</si>
  <si>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</si>
  <si>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</si>
  <si>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</si>
  <si>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</si>
  <si>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</si>
  <si>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</si>
  <si>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</si>
  <si>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</si>
  <si>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</si>
  <si>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</si>
  <si>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</si>
  <si>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</si>
  <si>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</si>
  <si>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</si>
  <si>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</si>
  <si>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</si>
  <si>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</si>
  <si>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</si>
  <si>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</si>
  <si>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</si>
  <si>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</si>
  <si>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</si>
  <si>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</si>
  <si>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</si>
  <si>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</si>
  <si>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</si>
  <si>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</si>
  <si>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</si>
  <si>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</si>
  <si>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</si>
  <si>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</si>
  <si>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</si>
  <si>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</si>
  <si>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</si>
  <si>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</si>
  <si>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</si>
  <si>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</si>
  <si>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</si>
  <si>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</si>
  <si>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</si>
  <si>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</si>
  <si>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</si>
  <si>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</si>
  <si>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</si>
  <si>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</si>
  <si>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</si>
  <si>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</si>
  <si>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</si>
  <si>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</si>
  <si>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</si>
  <si>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</si>
  <si>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</si>
  <si>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</si>
  <si>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</si>
  <si>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</si>
  <si>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</si>
  <si>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</si>
  <si>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</si>
  <si>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</si>
  <si>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</si>
  <si>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</si>
  <si>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</si>
  <si>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</si>
  <si>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</si>
  <si>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</si>
  <si>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</si>
  <si>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</si>
  <si>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</si>
  <si>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</si>
  <si>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</si>
  <si>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</si>
  <si>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</si>
  <si>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</si>
  <si>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</si>
  <si>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</si>
  <si>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</si>
  <si>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</si>
  <si>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</si>
  <si>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</si>
  <si>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</si>
  <si>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</si>
  <si>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</si>
  <si>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</si>
  <si>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</si>
  <si>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</si>
  <si>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</si>
  <si>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</si>
  <si>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</si>
  <si>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</si>
  <si>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</si>
  <si>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</si>
  <si>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</si>
  <si>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</si>
  <si>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</si>
  <si>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</si>
  <si>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</si>
  <si>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</si>
  <si>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</si>
  <si>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</si>
  <si>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</si>
  <si>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</si>
  <si>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</si>
  <si>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</si>
  <si>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</si>
  <si>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</si>
  <si>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</si>
  <si>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</si>
  <si>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</si>
  <si>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</si>
  <si>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</si>
  <si>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</si>
  <si>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</si>
  <si>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</si>
  <si>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</si>
  <si>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</si>
  <si>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</si>
  <si>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</si>
  <si>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</si>
  <si>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</si>
  <si>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</si>
  <si>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</si>
  <si>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</si>
  <si>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</si>
  <si>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</si>
  <si>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</si>
  <si>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</si>
  <si>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</si>
  <si>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PO4625-MON-20260216</t>
  </si>
  <si>
    <t>Supply Materials</t>
  </si>
  <si>
    <t>NOSA</t>
  </si>
  <si>
    <t>PO4624-MON-20260213</t>
  </si>
  <si>
    <t>CMB150 Grading Audit</t>
  </si>
  <si>
    <t>Peer Review</t>
  </si>
  <si>
    <t>Consumables</t>
  </si>
  <si>
    <t>Kilometers</t>
  </si>
  <si>
    <t>Payment ref: EME003</t>
  </si>
  <si>
    <t>ABB Switchgear</t>
  </si>
  <si>
    <t>PO4633-MON-20260219</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</si>
  <si>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</si>
  <si>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</si>
  <si>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</si>
  <si>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</si>
  <si>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</si>
  <si>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All invoicing is to be sent to accounts@emergy.co.za &amp; shauns@emergentenergy.co.za. Use OPP-26-8409014 as ref for payment</t>
  </si>
  <si>
    <t>PO4632-MON-20260219</t>
  </si>
  <si>
    <t>IF Outgoing CB 1, IF Outgoing CB 2, IF Outgoing CB 3</t>
  </si>
  <si>
    <t>IF Incoming CB</t>
  </si>
  <si>
    <t>Switchboard accessories</t>
  </si>
  <si>
    <t>All invoicing is to be sent to accounts@emergy.co.za &amp; shauns@emergentenergy.co.za. Use OPP-25-8124347 Rev.1 as ref for payment.</t>
  </si>
  <si>
    <t>Fuducia Construction</t>
  </si>
  <si>
    <t>PO4612-MON-20260205</t>
  </si>
  <si>
    <t>Fabricate 3 x Cat Ladders</t>
  </si>
  <si>
    <t>Sandblast &amp; Paint 2 x Cat Ladders (Mondi spec)</t>
  </si>
  <si>
    <t>Supply Scaffolding to Install</t>
  </si>
  <si>
    <t>Install Cat Ladders</t>
  </si>
  <si>
    <t>All Hold Down &amp; Anchor Bolts to be 316 s/s</t>
  </si>
  <si>
    <t>Material, Consumables &amp; Equipment</t>
  </si>
  <si>
    <t>Compile &amp; Supply QCP</t>
  </si>
  <si>
    <t>Supervision, Safety &amp; Labour</t>
  </si>
  <si>
    <t>Fixed Expenses</t>
  </si>
  <si>
    <t>Fiducia Construction CC requests a 70% upfront payment should
our Quotation result in a Purchase Order from Emergent Energy. admin@fiduciatrading.com</t>
  </si>
  <si>
    <t>Logivest</t>
  </si>
  <si>
    <t>PO4640-MON-20260223</t>
  </si>
  <si>
    <t>Preliminary &amp; General Cost</t>
  </si>
  <si>
    <t>ANALOGUE ADDRESSABLE
DETECTION</t>
  </si>
  <si>
    <t>FIRE WATER SYSTEM</t>
  </si>
  <si>
    <t>ENGINEERING, MANAGEMENT AND
CONTROL</t>
  </si>
  <si>
    <t>60% upon placement of PO,Progress Payment until completion. vlam@logivest.co.za. Ref number: 10698 REV 1</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</si>
  <si>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</si>
  <si>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</si>
  <si>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</si>
  <si>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</si>
  <si>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</si>
  <si>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</si>
  <si>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</si>
  <si>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</si>
  <si>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</si>
  <si>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</si>
  <si>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</si>
  <si>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</si>
  <si>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</si>
  <si>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</si>
  <si>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</si>
  <si>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</si>
  <si>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</si>
  <si>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</si>
  <si>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</si>
  <si>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</si>
  <si>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</si>
  <si>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</si>
  <si>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</si>
  <si>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</si>
  <si>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</si>
  <si>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</si>
  <si>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</si>
  <si>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</si>
  <si>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</si>
  <si>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</si>
  <si>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</si>
  <si>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</si>
  <si>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</si>
  <si>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</si>
  <si>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</si>
  <si>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</si>
  <si>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</si>
  <si>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</si>
  <si>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</si>
  <si>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</si>
  <si>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</si>
  <si>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</si>
  <si>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</si>
  <si>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</si>
  <si>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</si>
  <si>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</si>
  <si>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</si>
  <si>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</si>
  <si>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</si>
  <si>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</si>
  <si>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</si>
  <si>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</si>
  <si>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</si>
  <si>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</si>
  <si>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</si>
  <si>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</si>
  <si>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</si>
  <si>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</si>
  <si>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</si>
  <si>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</si>
  <si>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</si>
  <si>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</si>
  <si>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</si>
  <si>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</si>
  <si>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</si>
  <si>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</si>
  <si>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</si>
  <si>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</si>
  <si>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</si>
  <si>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</si>
  <si>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</si>
  <si>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</si>
  <si>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</si>
  <si>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</si>
  <si>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</si>
  <si>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</si>
  <si>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</si>
  <si>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</si>
  <si>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</si>
  <si>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</si>
  <si>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</si>
  <si>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</si>
  <si>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</si>
  <si>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</si>
  <si>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</si>
  <si>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</si>
  <si>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</si>
  <si>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</si>
  <si>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</si>
  <si>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</si>
  <si>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</si>
  <si>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</si>
  <si>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</si>
  <si>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</si>
  <si>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</si>
  <si>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</si>
  <si>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</si>
  <si>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</si>
  <si>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</si>
  <si>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</si>
  <si>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</si>
  <si>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</si>
  <si>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</si>
  <si>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</si>
  <si>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</si>
  <si>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</si>
  <si>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</si>
  <si>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</si>
  <si>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</si>
  <si>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</si>
  <si>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</si>
  <si>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</si>
  <si>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</si>
  <si>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</si>
  <si>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</si>
  <si>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</si>
  <si>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</si>
  <si>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</si>
  <si>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r>
      <t xml:space="preserve">Panels - RoofTop - 4970 panels - </t>
    </r>
    <r>
      <rPr>
        <b/>
        <sz val="11"/>
        <rFont val="Proxima Nova Lt"/>
      </rPr>
      <t>Class A Fire Rating</t>
    </r>
    <r>
      <rPr>
        <sz val="11"/>
        <rFont val="Proxima Nova Lt"/>
      </rPr>
      <t xml:space="preserve"> - Deposit 10%</t>
    </r>
  </si>
  <si>
    <r>
      <t xml:space="preserve">Panels - RoofTop - 4970 panels - </t>
    </r>
    <r>
      <rPr>
        <b/>
        <sz val="11"/>
        <rFont val="Proxima Nova Lt"/>
      </rPr>
      <t>Class A Fire Rating</t>
    </r>
    <r>
      <rPr>
        <sz val="11"/>
        <rFont val="Proxima Nova Lt"/>
      </rPr>
      <t xml:space="preserve"> - Balance 90% - Required by 27 April</t>
    </r>
  </si>
  <si>
    <t>Panels Carport - Deposit 10%</t>
  </si>
  <si>
    <t>Panels Carport - Balance - 312 panels - Required 6 July</t>
  </si>
  <si>
    <t>Spares - Required by August</t>
  </si>
  <si>
    <t>Inverters</t>
  </si>
  <si>
    <t>Inverter Budget</t>
  </si>
  <si>
    <t>2. Inverters</t>
  </si>
  <si>
    <t>Inverter - Huawei 330KTL - Design &amp; Manufacturing 5%</t>
  </si>
  <si>
    <t>PO4520-MON-20251203 - JP Approved</t>
  </si>
  <si>
    <t>MSA Energy PIZO/DM/CPT/00011/10/2025</t>
  </si>
  <si>
    <t>Inverter - Huawei 330KTL - Deposit 25% - Release stock from Port</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</si>
  <si>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</si>
  <si>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</si>
  <si>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</si>
  <si>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</si>
  <si>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</si>
  <si>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</si>
  <si>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</si>
  <si>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</si>
  <si>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</si>
  <si>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</si>
  <si>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</si>
  <si>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</si>
  <si>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</si>
  <si>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Ground Mount Structure Design - Zone 1</t>
  </si>
  <si>
    <t>PO4521-MON-20251203 - JP Approved</t>
  </si>
  <si>
    <t>Schletter INVQ0176</t>
  </si>
  <si>
    <t>IBR Budget</t>
  </si>
  <si>
    <t>Ground Mount Structure Balance - Zone 1</t>
  </si>
  <si>
    <t>Ground Mount Structure Design - Zone 2</t>
  </si>
  <si>
    <t>Ground Mount Structure Balance - Zone 2</t>
  </si>
  <si>
    <t>Ground Mount Structure Design - Zone 3</t>
  </si>
  <si>
    <t>Ground Mount Structure Balance - Zone 3</t>
  </si>
  <si>
    <t>Clampfit Pro</t>
  </si>
  <si>
    <t>Carport Deposit</t>
  </si>
  <si>
    <t>Carport Balance</t>
  </si>
  <si>
    <t>Engineering Signoff - deposit</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</si>
  <si>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</si>
  <si>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</si>
  <si>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</si>
  <si>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</si>
  <si>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</si>
  <si>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</si>
  <si>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</si>
  <si>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</si>
  <si>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</si>
  <si>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</si>
  <si>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</si>
  <si>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</si>
  <si>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</si>
  <si>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</si>
  <si>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</si>
  <si>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</si>
  <si>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</si>
  <si>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</si>
  <si>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</si>
  <si>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</si>
  <si>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</si>
  <si>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</si>
  <si>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</si>
  <si>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</si>
  <si>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</si>
  <si>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Network Cable Installation</t>
  </si>
  <si>
    <t>AC Equipment</t>
  </si>
  <si>
    <t>5MVA Outdoor Transformers (Delta/Delta) (600V/22kV)</t>
  </si>
  <si>
    <t>6. AC Equipment</t>
  </si>
  <si>
    <t>MV RMU and Switchgear</t>
  </si>
  <si>
    <t>Huawei Smart Transformers - 6MVA 0.8/11kV - Design &amp; Manufacturing 5%</t>
  </si>
  <si>
    <t>Huawei Smart Transformers - 6MVA 0.8/11kV - Deposit 25% - Release stock from port</t>
  </si>
  <si>
    <t>Huawei Smart Transformers - 6MVA 0.8/11kV - Balance 70% - Arrival onsite</t>
  </si>
  <si>
    <t>Transformer Assecories with Spares - Design &amp; Manufacturing 5%</t>
  </si>
  <si>
    <t>Transformer Assecories with Spares - Deposit 25% - Release stock from port</t>
  </si>
  <si>
    <t>Transformer Assecories with Spares - Balance 70% - Arrival onsite</t>
  </si>
  <si>
    <t>MV RMU and Switchgear - 20% Design</t>
  </si>
  <si>
    <t>PO4632-MON-20260219 - RV Approved</t>
  </si>
  <si>
    <t>????</t>
  </si>
  <si>
    <t>MV RMU and Switchgear - 30% Drawing Approval</t>
  </si>
  <si>
    <t>MV RMU and Switchgear - 30% on import of goods</t>
  </si>
  <si>
    <t>MV RMU and Switchgear - 10% on FAT</t>
  </si>
  <si>
    <t>Substation Building</t>
  </si>
  <si>
    <t>MV RMU and Switchgear - 10% on delivery of goods</t>
  </si>
  <si>
    <t>MV RIMU Instalaltion &amp; Commission - Advanced payment with order</t>
  </si>
  <si>
    <t>PO4633-MON-20260219 -RV Approved</t>
  </si>
  <si>
    <t>MV RIMU Instalaltion &amp; Commission - on completion of the site activity,</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</si>
  <si>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</si>
  <si>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</si>
  <si>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</si>
  <si>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</si>
  <si>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</si>
  <si>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</si>
  <si>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</si>
  <si>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</si>
  <si>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</si>
  <si>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</si>
  <si>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</si>
  <si>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</si>
  <si>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</si>
  <si>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</si>
  <si>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</si>
  <si>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</si>
  <si>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</si>
  <si>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</si>
  <si>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</si>
  <si>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Containerised Inverter Housings - Turnkey Solution at Switchboard - Contianer securement 30%</t>
  </si>
  <si>
    <t>PO4611-MON-20260205 - RV Approved</t>
  </si>
  <si>
    <t>Switchboard - 2-SOI002846</t>
  </si>
  <si>
    <t>Fees to Consultant</t>
  </si>
  <si>
    <t>Containerised Inverter Housings - Turnkey Solution at Switchboard - 20% fitment</t>
  </si>
  <si>
    <t>Containerised Inverter Housings - Turnkey Solution at Switchboard - 20% on Delivery</t>
  </si>
  <si>
    <t>Containerised Inverter Housings - Turnkey Solution at Switchboard - Final Payment 30%</t>
  </si>
  <si>
    <t>KwikSpace Control Room - Design &amp; Manufacture 50%</t>
  </si>
  <si>
    <t>PO4619-MON-20260212 - RV Approved</t>
  </si>
  <si>
    <t>KwikSpace Control Room - Balance of Payment 50%</t>
  </si>
  <si>
    <t>Security Fence</t>
  </si>
  <si>
    <t>PO4625-MON-20260216 - RV Approved</t>
  </si>
  <si>
    <t>Catladder - Deposit</t>
  </si>
  <si>
    <t>PO4612-MON-20260205 - RV Approved</t>
  </si>
  <si>
    <t>Catladder - Balance</t>
  </si>
  <si>
    <t>Fire Detection System - Placing of PO</t>
  </si>
  <si>
    <t>Fire Detection System - Installation Complete</t>
  </si>
  <si>
    <t>Lightning Protection - Design</t>
  </si>
  <si>
    <t>Lightning Protection - Installation Complete</t>
  </si>
  <si>
    <t>Cameras &amp; Perimeter Lighing - Deposit</t>
  </si>
  <si>
    <t>Cameras &amp; Perimeter Lighing - Balance</t>
  </si>
  <si>
    <t>Substation Building - Deposit</t>
  </si>
  <si>
    <t>Substation Building - Balance</t>
  </si>
  <si>
    <t>Only services to be capture below, products above</t>
  </si>
  <si>
    <t>AC &amp; DC Installation</t>
  </si>
  <si>
    <t>AC Installation Budget</t>
  </si>
  <si>
    <t>9. AC &amp; DC installation</t>
  </si>
  <si>
    <t>AC Installation - Planning &amp; Design</t>
  </si>
  <si>
    <t>DC Installation Budget</t>
  </si>
  <si>
    <t>AC installation - Construction Claim 1</t>
  </si>
  <si>
    <t>AC installation - Construction Claim 2</t>
  </si>
  <si>
    <t>AC installation - Construction Claim 3</t>
  </si>
  <si>
    <t>AC installation - Construction Claim 4</t>
  </si>
  <si>
    <t>AC installation - Construction Claim 5</t>
  </si>
  <si>
    <t>AC installation - Construction Claim 6</t>
  </si>
  <si>
    <t>AC Installation - 1 Year Retention</t>
  </si>
  <si>
    <t>DC Ground Mount Installation - Planning &amp; Design</t>
  </si>
  <si>
    <t>DC Ground Mount installation - Construction Claim 1</t>
  </si>
  <si>
    <t>DC Ground Mount installation - Construction Claim 2</t>
  </si>
  <si>
    <t>DC Ground Mount installation - Construction Claim 3</t>
  </si>
  <si>
    <t>DC Ground Mount installation - Construction Claim 4</t>
  </si>
  <si>
    <t>DC Ground Mount installation - Construction Claim 5</t>
  </si>
  <si>
    <t>DC Ground Mount installation - Construction Claim 6</t>
  </si>
  <si>
    <t>DC Ground Mount installation - 1 Year Retention</t>
  </si>
  <si>
    <t>DC Rooftop Installation - Planning &amp; Design</t>
  </si>
  <si>
    <t>DC Rooftop installation - Construction Claim 1</t>
  </si>
  <si>
    <t>DC Rooftop installation - Construction Claim 2</t>
  </si>
  <si>
    <t>DC Rooftop installation - Construction Claim 3</t>
  </si>
  <si>
    <t>DC Rooftop installation - Construction Claim 4</t>
  </si>
  <si>
    <t>DC Rooftop installation - Construction Claim 5</t>
  </si>
  <si>
    <t>DC Rooftop installation - Construction Claim 6</t>
  </si>
  <si>
    <t>DC Rooftop installation - 1 Year Retention</t>
  </si>
  <si>
    <t>DC Carport Installation - Planning &amp; Design</t>
  </si>
  <si>
    <t>DC Carport installation - Construction Claim 1</t>
  </si>
  <si>
    <t>DC Carport installation - Construction Claim 2</t>
  </si>
  <si>
    <t>DC Carport installation - Construction Claim 3</t>
  </si>
  <si>
    <t>DC Carport installation - Construction Claim 4</t>
  </si>
  <si>
    <t>DC Carport installation - Construction Claim 5</t>
  </si>
  <si>
    <t>DC Carport installation - Construction Claim 6</t>
  </si>
  <si>
    <t>DC Carport installation - 1 Year Retention</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</si>
  <si>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</si>
  <si>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</si>
  <si>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</si>
  <si>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</si>
  <si>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</si>
  <si>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</si>
  <si>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</si>
  <si>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</si>
  <si>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</si>
  <si>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</si>
  <si>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</si>
  <si>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</si>
  <si>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</si>
  <si>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</si>
  <si>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</si>
  <si>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</si>
  <si>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</si>
  <si>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</si>
  <si>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</si>
  <si>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</si>
  <si>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</si>
  <si>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</si>
  <si>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</si>
  <si>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</si>
  <si>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</si>
  <si>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</si>
  <si>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</si>
  <si>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</si>
  <si>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</si>
  <si>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</si>
  <si>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</si>
  <si>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</si>
  <si>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</si>
  <si>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</si>
  <si>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</si>
  <si>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</si>
  <si>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</si>
  <si>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</si>
  <si>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</si>
  <si>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</si>
  <si>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</si>
  <si>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</si>
  <si>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</si>
  <si>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</si>
  <si>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</si>
  <si>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</si>
  <si>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</si>
  <si>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</si>
  <si>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</si>
  <si>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</si>
  <si>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</si>
  <si>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</si>
  <si>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</si>
  <si>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Amkhoud - IN014375</t>
  </si>
  <si>
    <t>Safety Officer - Amkhoib  - Drawdown Schedule</t>
  </si>
  <si>
    <t>Safety Agent - Cairnmead Industrial Consultants - Drawdown Schedule</t>
  </si>
  <si>
    <t>PO4489-MONDI-20251125 - RV Approved</t>
  </si>
  <si>
    <t>Documentation</t>
  </si>
  <si>
    <t>Baseline Risk Assessment</t>
  </si>
  <si>
    <t>NOSA Training</t>
  </si>
  <si>
    <t>PO4624-MON-20260213 - RV Approved</t>
  </si>
  <si>
    <t>Civil Designs - L&amp;B Consulting Engineers</t>
  </si>
  <si>
    <t>PO4622-MON-20260213 - RV Approved</t>
  </si>
  <si>
    <t>Civil Designs Sign Off - L&amp;B Consulting Engineers</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</si>
  <si>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</si>
  <si>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</si>
  <si>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</si>
  <si>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</si>
  <si>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</si>
  <si>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</si>
  <si>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</si>
  <si>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</si>
  <si>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</si>
  <si>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</si>
  <si>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</si>
  <si>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</si>
  <si>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</si>
  <si>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</si>
  <si>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</si>
  <si>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</si>
  <si>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</si>
  <si>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EPC - Sep 26</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</si>
  <si>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</si>
  <si>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</si>
  <si>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</si>
  <si>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</si>
  <si>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</si>
  <si>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</si>
  <si>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</si>
  <si>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</si>
  <si>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</si>
  <si>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</si>
  <si>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</si>
  <si>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</si>
  <si>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</si>
  <si>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</si>
  <si>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</si>
  <si>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</si>
  <si>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</si>
  <si>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</si>
  <si>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</si>
  <si>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</si>
  <si>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</si>
  <si>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</si>
  <si>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</si>
  <si>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</si>
  <si>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</si>
  <si>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</si>
  <si>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</si>
  <si>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</si>
  <si>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</si>
  <si>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</si>
  <si>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</si>
  <si>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</si>
  <si>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</si>
  <si>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</si>
  <si>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</si>
  <si>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</si>
  <si>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</si>
  <si>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</si>
  <si>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</si>
  <si>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</si>
  <si>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</si>
  <si>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</si>
  <si>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</si>
  <si>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</si>
  <si>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</si>
  <si>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</si>
  <si>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</si>
  <si>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</si>
  <si>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</si>
  <si>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</si>
  <si>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</si>
  <si>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</si>
  <si>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</si>
  <si>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</si>
  <si>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</si>
  <si>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</si>
  <si>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</si>
  <si>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</si>
  <si>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</si>
  <si>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</si>
  <si>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</si>
  <si>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</si>
  <si>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</si>
  <si>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</si>
  <si>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</si>
  <si>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</si>
  <si>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</si>
  <si>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</si>
  <si>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</si>
  <si>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</si>
  <si>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</si>
  <si>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</si>
  <si>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</si>
  <si>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</si>
  <si>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</si>
  <si>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</si>
  <si>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</si>
  <si>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</si>
  <si>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</si>
  <si>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</si>
  <si>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</si>
  <si>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</si>
  <si>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</si>
  <si>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</si>
  <si>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</si>
  <si>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</si>
  <si>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</si>
  <si>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</si>
  <si>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</si>
  <si>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</si>
  <si>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</si>
  <si>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</si>
  <si>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</si>
  <si>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</si>
  <si>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</si>
  <si>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</si>
  <si>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</si>
  <si>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</si>
  <si>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</si>
  <si>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</si>
  <si>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</si>
  <si>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</si>
  <si>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</si>
  <si>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</si>
  <si>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</si>
  <si>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</si>
  <si>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</si>
  <si>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</si>
  <si>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</si>
  <si>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</si>
  <si>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</si>
  <si>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</si>
  <si>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</si>
  <si>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</si>
  <si>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</si>
  <si>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</si>
  <si>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</si>
  <si>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</si>
  <si>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</si>
  <si>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</si>
  <si>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</si>
  <si>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</si>
  <si>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</si>
  <si>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</si>
  <si>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</si>
  <si>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</si>
  <si>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</si>
  <si>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</si>
  <si>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</si>
  <si>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</si>
  <si>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</si>
  <si>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</si>
  <si>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</si>
  <si>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</si>
  <si>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</si>
  <si>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</si>
  <si>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</si>
  <si>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</si>
  <si>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</si>
  <si>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</si>
  <si>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</si>
  <si>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</si>
  <si>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</si>
  <si>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</si>
  <si>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</si>
  <si>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</si>
  <si>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</si>
  <si>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</si>
  <si>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</si>
  <si>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</si>
  <si>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</si>
  <si>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</si>
  <si>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</si>
  <si>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</si>
  <si>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</si>
  <si>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</si>
  <si>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</si>
  <si>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</si>
  <si>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Fiducia Construction CC - INV05456</t>
  </si>
  <si>
    <t>L&amp;B Consulting INV-2233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</si>
</sst>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 numFmtId="173" formatCode="0.0%"/>
  </numFmts>
  <fonts count="72">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s>
  <fills count="22">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102">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cellStyleXfs>
  <cellXfs count="1023">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0" borderId="52"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12" xfId="0" applyFont="1" applyBorder="1" applyAlignment="1" applyProtection="1">
      <alignment horizontal="left"/>
      <protection locked="0"/>
    </xf>
    <xf numFmtId="167" fontId="6" fillId="0" borderId="12" xfId="0" applyNumberFormat="1"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7" fontId="13" fillId="13" borderId="1" xfId="0" applyNumberFormat="1" applyFont="1" applyFill="1" applyBorder="1" applyAlignment="1" applyProtection="1">
      <alignment horizontal="left" vertic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9" fontId="6" fillId="11" borderId="1" xfId="0" applyNumberFormat="1" applyFont="1" applyFill="1" applyBorder="1" applyAlignment="1" applyProtection="1">
      <alignment horizontal="center" vertic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19" borderId="0" xfId="8"/>
    <xf numFmtId="44"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6" fillId="6" borderId="1" xfId="0" applyFont="1" applyFill="1" applyBorder="1" applyProtection="1">
      <protection locked="0"/>
    </xf>
    <xf numFmtId="16" fontId="33" fillId="7" borderId="2" xfId="0" applyNumberFormat="1" applyFont="1" applyFill="1" applyBorder="1" applyProtection="1">
      <protection locked="0"/>
    </xf>
    <xf numFmtId="167" fontId="66" fillId="21" borderId="2" xfId="3" applyFont="1" applyFill="1" applyBorder="1" applyAlignment="1">
      <alignment vertical="center"/>
    </xf>
    <xf numFmtId="167" fontId="66" fillId="0" borderId="2" xfId="3" applyFont="1" applyFill="1" applyBorder="1" applyAlignment="1">
      <alignment vertical="center"/>
    </xf>
    <xf numFmtId="14" fontId="13" fillId="11" borderId="18" xfId="0" applyNumberFormat="1" applyFont="1" applyFill="1" applyBorder="1" applyAlignment="1" applyProtection="1">
      <alignment horizontal="center"/>
      <protection locked="0"/>
    </xf>
    <xf numFmtId="168"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5"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5" xfId="0" applyFont="1" applyBorder="1" applyAlignment="1">
      <alignment horizontal="left" vertical="center"/>
    </xf>
    <xf numFmtId="14" fontId="6" fillId="0" borderId="25" xfId="0" applyNumberFormat="1" applyFont="1" applyBorder="1" applyAlignment="1">
      <alignment horizontal="left" vertical="center"/>
    </xf>
    <xf numFmtId="0" fontId="6" fillId="0" borderId="90" xfId="0" applyFont="1" applyBorder="1" applyAlignment="1">
      <alignment horizontal="left" vertical="center"/>
    </xf>
    <xf numFmtId="0" fontId="2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0" fontId="7" fillId="0" borderId="0" xfId="0" applyFont="1" applyAlignment="1">
      <alignment horizontal="right" vertical="center"/>
    </xf>
    <xf numFmtId="168"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5" xfId="0" applyBorder="1" applyAlignment="1">
      <alignment vertical="center"/>
    </xf>
    <xf numFmtId="0" fontId="6" fillId="0" borderId="25" xfId="0" applyFont="1" applyBorder="1" applyAlignment="1">
      <alignment vertical="center"/>
    </xf>
    <xf numFmtId="14" fontId="69" fillId="0" borderId="25" xfId="0" applyNumberFormat="1" applyFont="1" applyBorder="1" applyAlignment="1">
      <alignment vertical="center"/>
    </xf>
    <xf numFmtId="0" fontId="6" fillId="0" borderId="20" xfId="0" applyFont="1" applyBorder="1" applyAlignment="1">
      <alignment horizontal="left" vertical="center"/>
    </xf>
    <xf numFmtId="0" fontId="0" fillId="0" borderId="20" xfId="0" applyBorder="1" applyAlignment="1">
      <alignment vertical="center"/>
    </xf>
    <xf numFmtId="0" fontId="6" fillId="0" borderId="20" xfId="0" applyFont="1" applyBorder="1" applyAlignment="1">
      <alignment vertical="center"/>
    </xf>
    <xf numFmtId="14" fontId="6" fillId="0" borderId="20" xfId="0" applyNumberFormat="1" applyFont="1" applyBorder="1" applyAlignment="1">
      <alignment vertical="center"/>
    </xf>
    <xf numFmtId="14" fontId="6" fillId="0" borderId="20" xfId="0" applyNumberFormat="1" applyFont="1" applyBorder="1" applyAlignment="1">
      <alignment horizontal="lef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2"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0" fontId="5" fillId="6" borderId="2" xfId="0" applyFont="1" applyFill="1" applyBorder="1" applyAlignment="1" applyProtection="1">
      <alignment horizontal="center" vertical="center"/>
      <protection locked="0"/>
    </xf>
    <xf numFmtId="167" fontId="6" fillId="6" borderId="2" xfId="3" applyFont="1" applyFill="1" applyBorder="1" applyAlignment="1" applyProtection="1">
      <alignment horizontal="center"/>
      <protection locked="0"/>
    </xf>
    <xf numFmtId="168" fontId="5" fillId="6" borderId="2" xfId="0" applyNumberFormat="1" applyFont="1" applyFill="1" applyBorder="1" applyAlignment="1" applyProtection="1">
      <alignment horizontal="center"/>
      <protection locked="0"/>
    </xf>
    <xf numFmtId="9" fontId="5" fillId="6" borderId="1" xfId="0" applyNumberFormat="1" applyFont="1" applyFill="1" applyBorder="1" applyAlignment="1" applyProtection="1">
      <alignment horizontal="center" vertical="center"/>
      <protection locked="0"/>
    </xf>
    <xf numFmtId="167" fontId="6" fillId="6" borderId="1" xfId="3" applyFont="1" applyFill="1" applyBorder="1" applyAlignment="1" applyProtection="1">
      <alignment horizontal="center"/>
      <protection locked="0"/>
    </xf>
    <xf numFmtId="168" fontId="5" fillId="6" borderId="1" xfId="0" applyNumberFormat="1" applyFont="1" applyFill="1" applyBorder="1" applyAlignment="1" applyProtection="1">
      <alignment horizontal="center"/>
      <protection locked="0"/>
    </xf>
    <xf numFmtId="0" fontId="6" fillId="6" borderId="1" xfId="0" applyFont="1" applyFill="1" applyBorder="1" applyAlignment="1" applyProtection="1">
      <alignment horizontal="center" vertical="center"/>
      <protection locked="0"/>
    </xf>
    <xf numFmtId="168" fontId="5" fillId="6" borderId="19" xfId="0" applyNumberFormat="1" applyFont="1" applyFill="1" applyBorder="1" applyAlignment="1" applyProtection="1">
      <alignment horizontal="center"/>
      <protection locked="0"/>
    </xf>
    <xf numFmtId="17" fontId="6" fillId="11" borderId="36" xfId="0" quotePrefix="1" applyNumberFormat="1" applyFont="1" applyFill="1" applyBorder="1" applyAlignment="1" applyProtection="1">
      <alignment horizontal="left"/>
      <protection locked="0"/>
    </xf>
    <xf numFmtId="17" fontId="6" fillId="11" borderId="32" xfId="0" quotePrefix="1" applyNumberFormat="1" applyFont="1" applyFill="1" applyBorder="1" applyAlignment="1" applyProtection="1">
      <alignment horizontal="left"/>
      <protection locked="0"/>
    </xf>
    <xf numFmtId="168" fontId="5" fillId="11" borderId="101"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vertical="center"/>
      <protection locked="0"/>
    </xf>
    <xf numFmtId="14" fontId="5" fillId="11" borderId="69" xfId="0" applyNumberFormat="1" applyFont="1" applyFill="1" applyBorder="1" applyAlignment="1" applyProtection="1">
      <alignment horizontal="center" vertical="center"/>
      <protection locked="0"/>
    </xf>
    <xf numFmtId="0" fontId="32" fillId="6" borderId="2" xfId="0" applyFont="1" applyFill="1" applyBorder="1" applyAlignment="1">
      <alignment horizontal="center"/>
    </xf>
    <xf numFmtId="0" fontId="11" fillId="6" borderId="2" xfId="0" applyFont="1" applyFill="1" applyBorder="1"/>
    <xf numFmtId="0" fontId="5" fillId="6" borderId="2" xfId="0" applyFont="1" applyFill="1" applyBorder="1"/>
    <xf numFmtId="1" fontId="5" fillId="11" borderId="35" xfId="0" applyNumberFormat="1" applyFont="1" applyFill="1" applyBorder="1" applyAlignment="1" applyProtection="1">
      <alignment horizontal="center" vertical="center"/>
      <protection locked="0"/>
    </xf>
    <xf numFmtId="1" fontId="5" fillId="11" borderId="1" xfId="0" applyNumberFormat="1" applyFont="1" applyFill="1" applyBorder="1" applyAlignment="1" applyProtection="1">
      <alignment horizontal="center" vertical="center"/>
      <protection locked="0"/>
    </xf>
    <xf numFmtId="1" fontId="5" fillId="11" borderId="2" xfId="0" applyNumberFormat="1" applyFont="1" applyFill="1" applyBorder="1" applyAlignment="1" applyProtection="1">
      <alignment horizontal="center" vertical="center"/>
      <protection locked="0"/>
    </xf>
    <xf numFmtId="1" fontId="36" fillId="11" borderId="33" xfId="0" applyNumberFormat="1" applyFont="1" applyFill="1" applyBorder="1" applyAlignment="1" applyProtection="1">
      <alignment horizontal="center" vertical="center"/>
      <protection locked="0"/>
    </xf>
    <xf numFmtId="9" fontId="5" fillId="11" borderId="2" xfId="2" applyFont="1" applyFill="1" applyBorder="1" applyAlignment="1" applyProtection="1">
      <alignment horizontal="center" vertical="center"/>
      <protection locked="0"/>
    </xf>
    <xf numFmtId="9" fontId="5" fillId="11" borderId="1" xfId="2" applyFont="1" applyFill="1" applyBorder="1" applyAlignment="1" applyProtection="1">
      <alignment horizontal="center" vertical="center"/>
      <protection locked="0"/>
    </xf>
    <xf numFmtId="9" fontId="6" fillId="11" borderId="33" xfId="2" applyFont="1" applyFill="1" applyBorder="1" applyAlignment="1" applyProtection="1">
      <alignment horizontal="center" vertical="center"/>
      <protection locked="0"/>
    </xf>
    <xf numFmtId="173" fontId="5" fillId="11" borderId="1" xfId="2" applyNumberFormat="1" applyFont="1" applyFill="1" applyBorder="1" applyAlignment="1" applyProtection="1">
      <alignment horizontal="center" vertical="center"/>
      <protection locked="0"/>
    </xf>
    <xf numFmtId="173" fontId="5" fillId="11" borderId="2" xfId="2" applyNumberFormat="1" applyFont="1" applyFill="1" applyBorder="1" applyAlignment="1" applyProtection="1">
      <alignment horizontal="center" vertical="center"/>
      <protection locked="0"/>
    </xf>
    <xf numFmtId="168" fontId="5" fillId="11" borderId="71" xfId="0" applyNumberFormat="1" applyFont="1" applyFill="1" applyBorder="1" applyAlignment="1" applyProtection="1">
      <alignment horizontal="center" vertical="center"/>
      <protection locked="0"/>
    </xf>
    <xf numFmtId="168" fontId="5" fillId="11" borderId="60" xfId="0" applyNumberFormat="1" applyFont="1" applyFill="1" applyBorder="1" applyAlignment="1" applyProtection="1">
      <alignment horizontal="center" vertical="center"/>
      <protection locked="0"/>
    </xf>
    <xf numFmtId="0" fontId="5" fillId="11" borderId="71" xfId="0" applyFont="1" applyFill="1" applyBorder="1" applyAlignment="1" applyProtection="1">
      <alignment horizontal="center" vertical="center"/>
      <protection locked="0"/>
    </xf>
    <xf numFmtId="0" fontId="5" fillId="11" borderId="65" xfId="0" applyFont="1" applyFill="1" applyBorder="1" applyAlignment="1" applyProtection="1">
      <alignment horizontal="center" vertical="center"/>
      <protection locked="0"/>
    </xf>
    <xf numFmtId="0" fontId="5" fillId="0" borderId="67" xfId="0" applyFont="1" applyBorder="1" applyAlignment="1" applyProtection="1">
      <alignment horizontal="center" vertical="center"/>
      <protection locked="0"/>
    </xf>
    <xf numFmtId="168" fontId="5" fillId="13" borderId="60" xfId="0" applyNumberFormat="1" applyFont="1" applyFill="1" applyBorder="1" applyAlignment="1" applyProtection="1">
      <alignment horizontal="center" vertical="center"/>
      <protection locked="0"/>
    </xf>
    <xf numFmtId="168" fontId="5" fillId="13" borderId="65" xfId="0" applyNumberFormat="1" applyFont="1" applyFill="1" applyBorder="1" applyAlignment="1" applyProtection="1">
      <alignment horizontal="center" vertical="center"/>
      <protection locked="0"/>
    </xf>
    <xf numFmtId="168" fontId="5" fillId="0" borderId="67" xfId="0" applyNumberFormat="1" applyFont="1" applyBorder="1" applyAlignment="1" applyProtection="1">
      <alignment horizontal="center" vertical="center"/>
      <protection locked="0"/>
    </xf>
    <xf numFmtId="168" fontId="5" fillId="11" borderId="65" xfId="0" applyNumberFormat="1" applyFont="1" applyFill="1" applyBorder="1" applyAlignment="1" applyProtection="1">
      <alignment horizontal="center" vertical="center"/>
      <protection locked="0"/>
    </xf>
    <xf numFmtId="168" fontId="5" fillId="13" borderId="68" xfId="0" applyNumberFormat="1" applyFont="1" applyFill="1" applyBorder="1" applyAlignment="1" applyProtection="1">
      <alignment horizontal="center" vertical="center"/>
      <protection locked="0"/>
    </xf>
    <xf numFmtId="167" fontId="6" fillId="0" borderId="67" xfId="0" applyNumberFormat="1" applyFont="1" applyBorder="1" applyAlignment="1" applyProtection="1">
      <alignment horizontal="center" vertical="center"/>
      <protection locked="0"/>
    </xf>
    <xf numFmtId="168" fontId="5" fillId="13" borderId="71" xfId="0" applyNumberFormat="1" applyFont="1" applyFill="1" applyBorder="1" applyAlignment="1" applyProtection="1">
      <alignment horizontal="center" vertical="center"/>
      <protection locked="0"/>
    </xf>
    <xf numFmtId="168" fontId="5" fillId="0" borderId="61" xfId="0" applyNumberFormat="1" applyFont="1" applyBorder="1" applyAlignment="1" applyProtection="1">
      <alignment horizontal="center" vertical="center"/>
      <protection locked="0"/>
    </xf>
    <xf numFmtId="168" fontId="5" fillId="11" borderId="59" xfId="0" applyNumberFormat="1" applyFont="1" applyFill="1" applyBorder="1" applyAlignment="1" applyProtection="1">
      <alignment horizontal="center" vertical="center"/>
      <protection locked="0"/>
    </xf>
    <xf numFmtId="0" fontId="45" fillId="0" borderId="67" xfId="0" applyFont="1" applyBorder="1" applyAlignment="1" applyProtection="1">
      <alignment horizontal="left" vertical="center"/>
      <protection locked="0"/>
    </xf>
    <xf numFmtId="168" fontId="5" fillId="10" borderId="68" xfId="0" applyNumberFormat="1" applyFont="1" applyFill="1" applyBorder="1" applyAlignment="1" applyProtection="1">
      <alignment horizontal="center" vertical="center"/>
      <protection locked="0"/>
    </xf>
    <xf numFmtId="168" fontId="5" fillId="10" borderId="60" xfId="0" applyNumberFormat="1" applyFont="1" applyFill="1" applyBorder="1" applyAlignment="1" applyProtection="1">
      <alignment horizontal="center" vertical="center"/>
      <protection locked="0"/>
    </xf>
    <xf numFmtId="168" fontId="5" fillId="10" borderId="71" xfId="0" applyNumberFormat="1" applyFont="1" applyFill="1" applyBorder="1" applyAlignment="1" applyProtection="1">
      <alignment horizontal="center" vertical="center"/>
      <protection locked="0"/>
    </xf>
    <xf numFmtId="168" fontId="5" fillId="10" borderId="65" xfId="0" applyNumberFormat="1" applyFont="1" applyFill="1" applyBorder="1" applyAlignment="1" applyProtection="1">
      <alignment horizontal="center" vertical="center"/>
      <protection locked="0"/>
    </xf>
    <xf numFmtId="0" fontId="6" fillId="0" borderId="67" xfId="0" applyFont="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168" fontId="5" fillId="13" borderId="92"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92"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55" fillId="0" borderId="2" xfId="0" applyFont="1" applyBorder="1" applyAlignment="1">
      <alignment horizontal="center" vertical="center"/>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5" xfId="0" applyFont="1" applyBorder="1" applyAlignment="1">
      <alignment horizontal="left" vertical="center"/>
    </xf>
    <xf numFmtId="0" fontId="6" fillId="0" borderId="90" xfId="0" applyFont="1" applyBorder="1" applyAlignment="1">
      <alignment horizontal="left" vertical="center"/>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numFmt numFmtId="168" formatCode="_-[$R-1C09]* #,##0.00_-;\-[$R-1C09]* #,##0.00_-;_-[$R-1C09]* &quot;-&quot;??_-;_-@_-"/>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b val="0"/>
        <i val="0"/>
        <strike val="0"/>
        <condense val="0"/>
        <extend val="0"/>
        <outline val="0"/>
        <shadow val="0"/>
        <u val="none"/>
        <vertAlign val="baseline"/>
        <sz val="9"/>
        <color theme="0"/>
        <name val="Proxima Nova Lt"/>
        <scheme val="none"/>
      </font>
      <numFmt numFmtId="174"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4"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4"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4"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4"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font>
        <color rgb="FF9C0006"/>
      </font>
      <fill>
        <patternFill>
          <bgColor rgb="FFFFC7CE"/>
        </patternFill>
      </fill>
    </dxf>
    <dxf>
      <fill>
        <patternFill>
          <bgColor rgb="FFFFC000"/>
        </patternFill>
      </fill>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5.xml"/><Relationship Id="rId39" Type="http://schemas.openxmlformats.org/officeDocument/2006/relationships/calcChain" Target="calcChain.xml"/><Relationship Id="rId21" Type="http://schemas.openxmlformats.org/officeDocument/2006/relationships/chartsheet" Target="chartsheets/sheet1.xml"/><Relationship Id="rId34" Type="http://schemas.openxmlformats.org/officeDocument/2006/relationships/sheetMetadata" Target="metadata.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3.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2.xml"/><Relationship Id="rId28" Type="http://schemas.openxmlformats.org/officeDocument/2006/relationships/externalLink" Target="externalLinks/externalLink1.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1.xml"/><Relationship Id="rId27" Type="http://schemas.openxmlformats.org/officeDocument/2006/relationships/worksheet" Target="worksheets/sheet26.xml"/><Relationship Id="rId30" Type="http://schemas.microsoft.com/office/2007/relationships/slicerCache" Target="slicerCaches/slicerCach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4.xml"/><Relationship Id="rId33" Type="http://schemas.openxmlformats.org/officeDocument/2006/relationships/sharedStrings" Target="sharedStrings.xml"/><Relationship Id="rId38"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2"/>
                  <c:pt idx="0">
                    <c:v>22</c:v>
                  </c:pt>
                  <c:pt idx="1">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2"/>
                <c:pt idx="0">
                  <c:v>Commissioning </c:v>
                </c:pt>
                <c:pt idx="1">
                  <c:v>Off Taker Sign Off (Facility Completion)</c:v>
                </c:pt>
              </c:strCache>
            </c:strRef>
          </c:cat>
          <c:val>
            <c:numRef>
              <c:f>'Project Plan'!$W$28:$W$34</c:f>
              <c:numCache>
                <c:formatCode>m/d/yyyy</c:formatCode>
                <c:ptCount val="2"/>
                <c:pt idx="0">
                  <c:v>46279</c:v>
                </c:pt>
                <c:pt idx="1">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14062534.052995</c:v>
                </c:pt>
                <c:pt idx="57">
                  <c:v>19209311.288073201</c:v>
                </c:pt>
                <c:pt idx="58">
                  <c:v>25820449.008073203</c:v>
                </c:pt>
                <c:pt idx="59">
                  <c:v>26195449.008073203</c:v>
                </c:pt>
                <c:pt idx="60">
                  <c:v>26195449.008073203</c:v>
                </c:pt>
                <c:pt idx="61">
                  <c:v>27045130.908073202</c:v>
                </c:pt>
                <c:pt idx="62">
                  <c:v>32117655.772073202</c:v>
                </c:pt>
                <c:pt idx="63">
                  <c:v>33111853.972073201</c:v>
                </c:pt>
                <c:pt idx="64">
                  <c:v>33111853.972073201</c:v>
                </c:pt>
                <c:pt idx="65">
                  <c:v>33111853.972073201</c:v>
                </c:pt>
                <c:pt idx="66">
                  <c:v>43016774.358073205</c:v>
                </c:pt>
                <c:pt idx="67">
                  <c:v>46328947.219598264</c:v>
                </c:pt>
                <c:pt idx="68">
                  <c:v>46328947.219598264</c:v>
                </c:pt>
                <c:pt idx="69">
                  <c:v>46678947.219598264</c:v>
                </c:pt>
                <c:pt idx="70">
                  <c:v>71238131.672210276</c:v>
                </c:pt>
                <c:pt idx="71">
                  <c:v>71348081.672210276</c:v>
                </c:pt>
                <c:pt idx="72">
                  <c:v>71348081.672210276</c:v>
                </c:pt>
                <c:pt idx="73">
                  <c:v>73177265.872210279</c:v>
                </c:pt>
                <c:pt idx="74">
                  <c:v>80483512.618210286</c:v>
                </c:pt>
                <c:pt idx="75">
                  <c:v>119807060.5786652</c:v>
                </c:pt>
                <c:pt idx="76">
                  <c:v>120226759.9786652</c:v>
                </c:pt>
                <c:pt idx="77">
                  <c:v>120226759.9786652</c:v>
                </c:pt>
                <c:pt idx="78">
                  <c:v>120226759.9786652</c:v>
                </c:pt>
                <c:pt idx="79">
                  <c:v>128731843.3236652</c:v>
                </c:pt>
                <c:pt idx="80">
                  <c:v>129221542.72366521</c:v>
                </c:pt>
                <c:pt idx="81">
                  <c:v>129771542.72366521</c:v>
                </c:pt>
                <c:pt idx="82">
                  <c:v>130449184.72366521</c:v>
                </c:pt>
                <c:pt idx="83">
                  <c:v>130475442.3236652</c:v>
                </c:pt>
                <c:pt idx="84">
                  <c:v>141512752.66297796</c:v>
                </c:pt>
                <c:pt idx="85">
                  <c:v>142126702.66297796</c:v>
                </c:pt>
                <c:pt idx="86">
                  <c:v>142201702.66297796</c:v>
                </c:pt>
                <c:pt idx="87">
                  <c:v>142201702.66297796</c:v>
                </c:pt>
                <c:pt idx="88">
                  <c:v>143448363.58797798</c:v>
                </c:pt>
                <c:pt idx="89">
                  <c:v>143563363.58797798</c:v>
                </c:pt>
                <c:pt idx="90">
                  <c:v>143563363.58797798</c:v>
                </c:pt>
                <c:pt idx="91">
                  <c:v>143563363.58797798</c:v>
                </c:pt>
                <c:pt idx="92">
                  <c:v>143620863.58797798</c:v>
                </c:pt>
                <c:pt idx="93">
                  <c:v>143620863.58797798</c:v>
                </c:pt>
                <c:pt idx="94">
                  <c:v>143620863.58797798</c:v>
                </c:pt>
                <c:pt idx="95">
                  <c:v>143620863.58797798</c:v>
                </c:pt>
                <c:pt idx="96">
                  <c:v>143620863.58797798</c:v>
                </c:pt>
                <c:pt idx="97">
                  <c:v>143620863.58797798</c:v>
                </c:pt>
                <c:pt idx="98">
                  <c:v>143620863.58797798</c:v>
                </c:pt>
                <c:pt idx="99">
                  <c:v>143620863.58797798</c:v>
                </c:pt>
                <c:pt idx="100">
                  <c:v>143620863.58797798</c:v>
                </c:pt>
                <c:pt idx="101">
                  <c:v>143620863.58797798</c:v>
                </c:pt>
                <c:pt idx="102">
                  <c:v>143620863.58797798</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-14062534.052995</c:v>
                </c:pt>
                <c:pt idx="57">
                  <c:v>-19209311.288073201</c:v>
                </c:pt>
                <c:pt idx="58">
                  <c:v>-25820449.008073203</c:v>
                </c:pt>
                <c:pt idx="59">
                  <c:v>-26195449.008073203</c:v>
                </c:pt>
                <c:pt idx="60">
                  <c:v>-26195449.008073203</c:v>
                </c:pt>
                <c:pt idx="61">
                  <c:v>-27045130.908073202</c:v>
                </c:pt>
                <c:pt idx="62">
                  <c:v>-32117655.772073202</c:v>
                </c:pt>
                <c:pt idx="63">
                  <c:v>-33111853.972073201</c:v>
                </c:pt>
                <c:pt idx="64">
                  <c:v>-33111853.972073201</c:v>
                </c:pt>
                <c:pt idx="65">
                  <c:v>-33111853.972073201</c:v>
                </c:pt>
                <c:pt idx="66">
                  <c:v>2483225.6419267952</c:v>
                </c:pt>
                <c:pt idx="67">
                  <c:v>-828947.2195982635</c:v>
                </c:pt>
                <c:pt idx="68">
                  <c:v>-828947.2195982635</c:v>
                </c:pt>
                <c:pt idx="69">
                  <c:v>-1178947.2195982635</c:v>
                </c:pt>
                <c:pt idx="70">
                  <c:v>-21738131.672210276</c:v>
                </c:pt>
                <c:pt idx="71">
                  <c:v>-21848081.672210276</c:v>
                </c:pt>
                <c:pt idx="72">
                  <c:v>-6848081.6722102761</c:v>
                </c:pt>
                <c:pt idx="73">
                  <c:v>-8677265.8722102791</c:v>
                </c:pt>
                <c:pt idx="74">
                  <c:v>-2083512.6182102859</c:v>
                </c:pt>
                <c:pt idx="75">
                  <c:v>-25407060.578665197</c:v>
                </c:pt>
                <c:pt idx="76">
                  <c:v>-25826759.978665203</c:v>
                </c:pt>
                <c:pt idx="77">
                  <c:v>-25826759.978665203</c:v>
                </c:pt>
                <c:pt idx="78">
                  <c:v>-25826759.978665203</c:v>
                </c:pt>
                <c:pt idx="79">
                  <c:v>-25331843.323665202</c:v>
                </c:pt>
                <c:pt idx="80">
                  <c:v>-25821542.723665208</c:v>
                </c:pt>
                <c:pt idx="81">
                  <c:v>-19371542.723665208</c:v>
                </c:pt>
                <c:pt idx="82">
                  <c:v>-20049184.723665208</c:v>
                </c:pt>
                <c:pt idx="83">
                  <c:v>-12575442.323665202</c:v>
                </c:pt>
                <c:pt idx="84">
                  <c:v>-23612752.662977964</c:v>
                </c:pt>
                <c:pt idx="85">
                  <c:v>-18726702.662977964</c:v>
                </c:pt>
                <c:pt idx="86">
                  <c:v>-18801702.662977964</c:v>
                </c:pt>
                <c:pt idx="87">
                  <c:v>-7301702.6629779637</c:v>
                </c:pt>
                <c:pt idx="88">
                  <c:v>-8548363.5879779756</c:v>
                </c:pt>
                <c:pt idx="89">
                  <c:v>-7163363.5879779756</c:v>
                </c:pt>
                <c:pt idx="90">
                  <c:v>-7163363.5879779756</c:v>
                </c:pt>
                <c:pt idx="91">
                  <c:v>-7163363.5879779756</c:v>
                </c:pt>
                <c:pt idx="92">
                  <c:v>-7220863.5879779756</c:v>
                </c:pt>
                <c:pt idx="93">
                  <c:v>-7220863.5879779756</c:v>
                </c:pt>
                <c:pt idx="94">
                  <c:v>-7220863.5879779756</c:v>
                </c:pt>
                <c:pt idx="95">
                  <c:v>-7220863.5879779756</c:v>
                </c:pt>
                <c:pt idx="96">
                  <c:v>-7220863.5879779756</c:v>
                </c:pt>
                <c:pt idx="97">
                  <c:v>-7220863.5879779756</c:v>
                </c:pt>
                <c:pt idx="98">
                  <c:v>-7220863.5879779756</c:v>
                </c:pt>
                <c:pt idx="99">
                  <c:v>-7220863.5879779756</c:v>
                </c:pt>
                <c:pt idx="100">
                  <c:v>-7220863.5879779756</c:v>
                </c:pt>
                <c:pt idx="101">
                  <c:v>-7220863.5879779756</c:v>
                </c:pt>
                <c:pt idx="102">
                  <c:v>-7220863.5879779756</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17898373.988438204</c:v>
                </c:pt>
                <c:pt idx="58">
                  <c:v>17898373.988438204</c:v>
                </c:pt>
                <c:pt idx="59">
                  <c:v>17898373.988438204</c:v>
                </c:pt>
                <c:pt idx="60">
                  <c:v>17898373.988438204</c:v>
                </c:pt>
                <c:pt idx="61">
                  <c:v>17898373.988438204</c:v>
                </c:pt>
                <c:pt idx="62">
                  <c:v>23565046.26286184</c:v>
                </c:pt>
                <c:pt idx="63">
                  <c:v>23565046.26286184</c:v>
                </c:pt>
                <c:pt idx="64">
                  <c:v>23565046.26286184</c:v>
                </c:pt>
                <c:pt idx="65">
                  <c:v>23565046.26286184</c:v>
                </c:pt>
                <c:pt idx="66">
                  <c:v>77954223.588715598</c:v>
                </c:pt>
                <c:pt idx="67">
                  <c:v>77954223.588715598</c:v>
                </c:pt>
                <c:pt idx="68">
                  <c:v>77954223.588715598</c:v>
                </c:pt>
                <c:pt idx="69">
                  <c:v>77954223.588715598</c:v>
                </c:pt>
                <c:pt idx="70">
                  <c:v>112381691.74149561</c:v>
                </c:pt>
                <c:pt idx="71">
                  <c:v>112381691.74149561</c:v>
                </c:pt>
                <c:pt idx="72">
                  <c:v>112381691.74149561</c:v>
                </c:pt>
                <c:pt idx="73">
                  <c:v>112381691.74149561</c:v>
                </c:pt>
                <c:pt idx="74">
                  <c:v>112381691.74149561</c:v>
                </c:pt>
                <c:pt idx="75">
                  <c:v>125387952.72100961</c:v>
                </c:pt>
                <c:pt idx="76">
                  <c:v>125387952.72100961</c:v>
                </c:pt>
                <c:pt idx="77">
                  <c:v>125387952.72100961</c:v>
                </c:pt>
                <c:pt idx="78">
                  <c:v>125387952.72100961</c:v>
                </c:pt>
                <c:pt idx="79">
                  <c:v>132634174.35216299</c:v>
                </c:pt>
                <c:pt idx="80">
                  <c:v>132634174.35216299</c:v>
                </c:pt>
                <c:pt idx="81">
                  <c:v>132634174.35216299</c:v>
                </c:pt>
                <c:pt idx="82">
                  <c:v>132634174.35216299</c:v>
                </c:pt>
                <c:pt idx="83">
                  <c:v>132642201.69798562</c:v>
                </c:pt>
                <c:pt idx="84">
                  <c:v>142955447.36749679</c:v>
                </c:pt>
                <c:pt idx="85">
                  <c:v>142955447.36749679</c:v>
                </c:pt>
                <c:pt idx="86">
                  <c:v>142955447.36749679</c:v>
                </c:pt>
                <c:pt idx="87">
                  <c:v>142955447.36749679</c:v>
                </c:pt>
                <c:pt idx="88">
                  <c:v>143476893.39945802</c:v>
                </c:pt>
                <c:pt idx="89">
                  <c:v>143476893.39945802</c:v>
                </c:pt>
                <c:pt idx="90">
                  <c:v>143476893.39945802</c:v>
                </c:pt>
                <c:pt idx="91">
                  <c:v>143476893.39945802</c:v>
                </c:pt>
                <c:pt idx="92">
                  <c:v>143528295.71646768</c:v>
                </c:pt>
                <c:pt idx="93">
                  <c:v>143528295.71646768</c:v>
                </c:pt>
                <c:pt idx="94">
                  <c:v>143528295.71646768</c:v>
                </c:pt>
                <c:pt idx="95">
                  <c:v>143528295.71646768</c:v>
                </c:pt>
                <c:pt idx="96">
                  <c:v>143528295.71646768</c:v>
                </c:pt>
                <c:pt idx="97">
                  <c:v>143528295.71646768</c:v>
                </c:pt>
                <c:pt idx="98">
                  <c:v>143528295.71646768</c:v>
                </c:pt>
                <c:pt idx="99">
                  <c:v>143528295.71646768</c:v>
                </c:pt>
                <c:pt idx="100">
                  <c:v>143528295.71646768</c:v>
                </c:pt>
                <c:pt idx="101">
                  <c:v>143528295.71646768</c:v>
                </c:pt>
                <c:pt idx="102">
                  <c:v>143528295.71646768</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8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png"/><Relationship Id="rId1" Type="http://schemas.openxmlformats.org/officeDocument/2006/relationships/image" Target="../media/image4.emf"/></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1562324</xdr:colOff>
      <xdr:row>23</xdr:row>
      <xdr:rowOff>17226</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182610</xdr:colOff>
      <xdr:row>1</xdr:row>
      <xdr:rowOff>8518</xdr:rowOff>
    </xdr:from>
    <xdr:to>
      <xdr:col>17</xdr:col>
      <xdr:colOff>1363599</xdr:colOff>
      <xdr:row>8</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125</xdr:row>
      <xdr:rowOff>63314</xdr:rowOff>
    </xdr:from>
    <xdr:to>
      <xdr:col>28</xdr:col>
      <xdr:colOff>65812</xdr:colOff>
      <xdr:row>168</xdr:row>
      <xdr:rowOff>77045</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982941</xdr:colOff>
      <xdr:row>59</xdr:row>
      <xdr:rowOff>136071</xdr:rowOff>
    </xdr:from>
    <xdr:to>
      <xdr:col>33</xdr:col>
      <xdr:colOff>570753</xdr:colOff>
      <xdr:row>88</xdr:row>
      <xdr:rowOff>54428</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7</xdr:row>
      <xdr:rowOff>3149</xdr:rowOff>
    </xdr:to>
    <xdr:pic>
      <xdr:nvPicPr>
        <xdr:cNvPr id="2" name="Picture 1">
          <a:extLst>
            <a:ext uri="{FF2B5EF4-FFF2-40B4-BE49-F238E27FC236}">
              <a16:creationId xmlns:a16="http://schemas.microsoft.com/office/drawing/2014/main" id="{5EEC6139-1738-48FE-8F50-54D3AC75121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30976</xdr:rowOff>
    </xdr:to>
    <xdr:pic macro="[0]!PDFActiveSheetNoPrompt">
      <xdr:nvPicPr>
        <xdr:cNvPr id="3" name="Picture 2">
          <a:extLst>
            <a:ext uri="{FF2B5EF4-FFF2-40B4-BE49-F238E27FC236}">
              <a16:creationId xmlns:a16="http://schemas.microsoft.com/office/drawing/2014/main" id="{E8F556A6-B297-45E9-832C-866A3ECDC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C0D3E855-369C-4B76-ABFD-41A60195A0E0}"/>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739E8E4-EC41-4F1A-86B7-149D84AD45F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1186A8E8-97D3-462F-BD2A-4EC30C223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247651</xdr:colOff>
      <xdr:row>39</xdr:row>
      <xdr:rowOff>95250</xdr:rowOff>
    </xdr:from>
    <xdr:to>
      <xdr:col>5</xdr:col>
      <xdr:colOff>620940</xdr:colOff>
      <xdr:row>40</xdr:row>
      <xdr:rowOff>139700</xdr:rowOff>
    </xdr:to>
    <xdr:pic>
      <xdr:nvPicPr>
        <xdr:cNvPr id="4" name="Picture 3">
          <a:extLst>
            <a:ext uri="{FF2B5EF4-FFF2-40B4-BE49-F238E27FC236}">
              <a16:creationId xmlns:a16="http://schemas.microsoft.com/office/drawing/2014/main" id="{13B0C0E3-A10B-43A3-8FD1-3C3FE710D199}"/>
            </a:ext>
          </a:extLst>
        </xdr:cNvPr>
        <xdr:cNvPicPr>
          <a:picLocks noChangeAspect="1"/>
        </xdr:cNvPicPr>
      </xdr:nvPicPr>
      <xdr:blipFill>
        <a:blip xmlns:r="http://schemas.openxmlformats.org/officeDocument/2006/relationships" r:embed="rId3"/>
        <a:stretch>
          <a:fillRect/>
        </a:stretch>
      </xdr:blipFill>
      <xdr:spPr>
        <a:xfrm>
          <a:off x="4219576" y="9010650"/>
          <a:ext cx="373289" cy="22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absoluteAnchor>
    <xdr:pos x="0" y="0"/>
    <xdr:ext cx="12997962" cy="943707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alternateUrls>
    <sheetNames>
      <sheetName val="Instructions"/>
      <sheetName val="Database"/>
      <sheetName val="PO Generator Database"/>
    </sheetNames>
    <sheetDataSet>
      <sheetData sheetId="0" refreshError="1"/>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Accuenergy</v>
          </cell>
          <cell r="B3">
            <v>4430289142</v>
          </cell>
          <cell r="C3" t="str">
            <v>Castle Walk Corporate Park, Block B</v>
          </cell>
          <cell r="D3" t="str">
            <v>Pretoria Gauteng, 0181</v>
          </cell>
          <cell r="E3" t="str">
            <v>Rista Benjamin</v>
          </cell>
          <cell r="F3" t="str">
            <v>084 205 9938</v>
          </cell>
        </row>
        <row r="4">
          <cell r="A4" t="str">
            <v>ACES Africa</v>
          </cell>
          <cell r="B4">
            <v>4450281565</v>
          </cell>
          <cell r="C4" t="str">
            <v>Triangle Point, 13 Urtel Cresent</v>
          </cell>
          <cell r="D4" t="str">
            <v>Somerset West, Cape Town, 7130</v>
          </cell>
          <cell r="E4" t="str">
            <v>Anre Gous</v>
          </cell>
          <cell r="F4" t="str">
            <v>021 852 4692</v>
          </cell>
        </row>
        <row r="5">
          <cell r="A5" t="str">
            <v>Active Rope, ATS Africa</v>
          </cell>
          <cell r="B5">
            <v>4790288015</v>
          </cell>
          <cell r="C5" t="str">
            <v>109 Charlotte Maxeke Street</v>
          </cell>
          <cell r="D5" t="str">
            <v>Pretoria West, 0183</v>
          </cell>
          <cell r="E5" t="str">
            <v>Silence</v>
          </cell>
          <cell r="F5" t="str">
            <v>082 597 1222</v>
          </cell>
        </row>
        <row r="6">
          <cell r="A6" t="str">
            <v>ADHOC Architectural Documentation</v>
          </cell>
          <cell r="B6">
            <v>4160305241</v>
          </cell>
          <cell r="C6" t="str">
            <v>2 Bayswater bend, Parklands</v>
          </cell>
          <cell r="D6" t="str">
            <v>Cape Town, 7441</v>
          </cell>
          <cell r="E6" t="str">
            <v>Chris Long</v>
          </cell>
          <cell r="F6" t="str">
            <v>082 975 9693</v>
          </cell>
        </row>
        <row r="7">
          <cell r="A7" t="str">
            <v>Alifab Aluminium Fabricators</v>
          </cell>
          <cell r="B7" t="str">
            <v>TBC</v>
          </cell>
          <cell r="C7" t="str">
            <v>7b, 43 Yarborough Rd, Mkondeni</v>
          </cell>
          <cell r="D7" t="str">
            <v>Pietermaritzburg, 3200</v>
          </cell>
          <cell r="E7" t="str">
            <v>Richard Wood</v>
          </cell>
          <cell r="F7" t="str">
            <v xml:space="preserve"> 072 303 6668</v>
          </cell>
        </row>
        <row r="8">
          <cell r="A8" t="str">
            <v>Apex Inverters</v>
          </cell>
          <cell r="B8">
            <v>4770267849</v>
          </cell>
          <cell r="C8" t="str">
            <v>97 Garfield Road</v>
          </cell>
          <cell r="D8" t="str">
            <v>Kenilworth, Cape Town, 7708</v>
          </cell>
          <cell r="E8" t="str">
            <v>Stanley</v>
          </cell>
          <cell r="F8" t="str">
            <v>084 510 9837</v>
          </cell>
        </row>
        <row r="9">
          <cell r="A9" t="str">
            <v>Ascend Rope Access</v>
          </cell>
          <cell r="B9">
            <v>4780279248</v>
          </cell>
          <cell r="D9" t="str">
            <v>Cape Town</v>
          </cell>
          <cell r="E9" t="str">
            <v>Johon Craven</v>
          </cell>
          <cell r="F9">
            <v>837833039</v>
          </cell>
        </row>
        <row r="10">
          <cell r="A10" t="str">
            <v>Barrier Projects</v>
          </cell>
          <cell r="B10">
            <v>4330300551</v>
          </cell>
          <cell r="C10" t="str">
            <v>80 Willow Road, Stikland</v>
          </cell>
          <cell r="D10" t="str">
            <v>Cape Town, 7560</v>
          </cell>
          <cell r="E10" t="str">
            <v>Johan Du Plesiss</v>
          </cell>
          <cell r="F10" t="str">
            <v>072 230 9764</v>
          </cell>
        </row>
        <row r="11">
          <cell r="A11" t="str">
            <v>BDL Solar Solutions</v>
          </cell>
          <cell r="B11">
            <v>4220284824</v>
          </cell>
          <cell r="C11" t="str">
            <v>PLOT 431 SARDINIA BAY</v>
          </cell>
          <cell r="D11" t="str">
            <v>PORT ELIZABETH, Eastern Cape</v>
          </cell>
          <cell r="E11" t="str">
            <v>Brent de Lange</v>
          </cell>
          <cell r="F11" t="str">
            <v>082 779 3891</v>
          </cell>
        </row>
        <row r="12">
          <cell r="A12" t="str">
            <v>Bolt &amp; Nut Centre</v>
          </cell>
          <cell r="B12">
            <v>4550117818</v>
          </cell>
          <cell r="C12" t="str">
            <v>56 Neptune Street</v>
          </cell>
          <cell r="D12" t="str">
            <v>Paarden Eiland, 7420</v>
          </cell>
          <cell r="E12" t="str">
            <v>info@bnc.co.za</v>
          </cell>
          <cell r="F12" t="str">
            <v>021 511 2087</v>
          </cell>
        </row>
        <row r="13">
          <cell r="A13" t="str">
            <v>Brice &amp; Co.</v>
          </cell>
          <cell r="B13" t="str">
            <v>TBC</v>
          </cell>
          <cell r="C13" t="str">
            <v>16 Fisher Avenue</v>
          </cell>
          <cell r="D13" t="str">
            <v>Epping Industria 1</v>
          </cell>
          <cell r="E13" t="str">
            <v>Richard Brice</v>
          </cell>
          <cell r="F13" t="str">
            <v>021 534 5221</v>
          </cell>
        </row>
        <row r="14">
          <cell r="A14" t="str">
            <v>Bundu Power</v>
          </cell>
          <cell r="B14">
            <v>9117020165</v>
          </cell>
          <cell r="C14" t="str">
            <v>2 Bravo Road</v>
          </cell>
          <cell r="D14" t="str">
            <v>Jet Park Boksburg</v>
          </cell>
          <cell r="E14" t="str">
            <v>Rashaad Landsman</v>
          </cell>
          <cell r="F14" t="str">
            <v>011 397 7373</v>
          </cell>
        </row>
        <row r="15">
          <cell r="A15" t="str">
            <v>Caracal Engineering</v>
          </cell>
          <cell r="B15">
            <v>4250281732</v>
          </cell>
          <cell r="C15" t="str">
            <v>7 Quince Street, Milpark</v>
          </cell>
          <cell r="D15" t="str">
            <v>Johannesburg, 2092</v>
          </cell>
          <cell r="E15" t="str">
            <v>Nathan Venter</v>
          </cell>
          <cell r="F15" t="str">
            <v>010 900 1644</v>
          </cell>
        </row>
        <row r="16">
          <cell r="A16" t="str">
            <v>Cosmic Sun</v>
          </cell>
          <cell r="B16">
            <v>4330314321</v>
          </cell>
          <cell r="C16" t="str">
            <v>Unit 2 Moncoa Square</v>
          </cell>
          <cell r="D16" t="str">
            <v>Durbanville, 7551</v>
          </cell>
          <cell r="E16" t="str">
            <v>Simon Muller</v>
          </cell>
          <cell r="F16" t="str">
            <v>072 110 8200</v>
          </cell>
        </row>
        <row r="17">
          <cell r="A17" t="str">
            <v>De Kock &amp; Cronje MV Switchgear</v>
          </cell>
          <cell r="B17">
            <v>4520235161</v>
          </cell>
          <cell r="C17" t="str">
            <v>Unit 1 &amp; 2 Buildevco Park</v>
          </cell>
          <cell r="D17" t="str">
            <v>Brackenfell 7530</v>
          </cell>
          <cell r="E17" t="str">
            <v xml:space="preserve">Elana Ellis    </v>
          </cell>
          <cell r="F17" t="str">
            <v>021 982 7724</v>
          </cell>
        </row>
        <row r="18">
          <cell r="A18" t="str">
            <v>Dock-Land Suppliers</v>
          </cell>
          <cell r="B18">
            <v>4160166163</v>
          </cell>
          <cell r="C18" t="str">
            <v>1 Regent park, Platinum Street</v>
          </cell>
          <cell r="D18" t="str">
            <v>Montague Gardens, 7441</v>
          </cell>
          <cell r="E18" t="str">
            <v>Bradley Russell</v>
          </cell>
          <cell r="F18" t="str">
            <v>082 894 8837</v>
          </cell>
        </row>
        <row r="19">
          <cell r="A19" t="str">
            <v>E&amp;M Plant and Transport</v>
          </cell>
          <cell r="B19">
            <v>4540281393</v>
          </cell>
          <cell r="C19" t="str">
            <v>7 Busschau Rd, Fairleads</v>
          </cell>
          <cell r="D19" t="str">
            <v>Benoni, 1512</v>
          </cell>
          <cell r="E19" t="str">
            <v xml:space="preserve">Tilana Klopper </v>
          </cell>
          <cell r="F19" t="str">
            <v>011 979 7755</v>
          </cell>
        </row>
        <row r="20">
          <cell r="A20" t="str">
            <v>Eastern Switchgear</v>
          </cell>
          <cell r="B20">
            <v>4090105711</v>
          </cell>
          <cell r="C20" t="str">
            <v>Pax Street</v>
          </cell>
          <cell r="D20" t="str">
            <v>PORT ELIZABETH, Eastern Cape</v>
          </cell>
          <cell r="E20" t="str">
            <v>Mark</v>
          </cell>
          <cell r="F20" t="str">
            <v>082 372 3813</v>
          </cell>
        </row>
        <row r="21">
          <cell r="A21" t="str">
            <v>ELUM Energy</v>
          </cell>
          <cell r="B21" t="str">
            <v>TBC</v>
          </cell>
          <cell r="C21" t="str">
            <v>4 Kebble St, Sidwell</v>
          </cell>
          <cell r="D21" t="str">
            <v>Gqeberha, 6061</v>
          </cell>
          <cell r="E21" t="str">
            <v>Christiaan Carstens</v>
          </cell>
          <cell r="F21" t="str">
            <v>041 451 4359</v>
          </cell>
        </row>
        <row r="22">
          <cell r="A22" t="str">
            <v>Emerce Africa</v>
          </cell>
          <cell r="B22">
            <v>4820266494</v>
          </cell>
          <cell r="C22" t="str">
            <v>5th Floor, The Palms, 145 Sir Lowry Road</v>
          </cell>
          <cell r="D22" t="str">
            <v>Woodstock, Cape Town, 7925</v>
          </cell>
          <cell r="E22" t="str">
            <v>sales@emerce-africa.co.za</v>
          </cell>
          <cell r="F22" t="str">
            <v>082 797 7441</v>
          </cell>
        </row>
        <row r="23">
          <cell r="A23" t="str">
            <v>Frontline Electrical</v>
          </cell>
          <cell r="B23">
            <v>4330168925</v>
          </cell>
          <cell r="C23" t="str">
            <v>Unit 8, 100 Victoria Street</v>
          </cell>
          <cell r="D23" t="str">
            <v>Somerset West, Cape Town, 7129</v>
          </cell>
          <cell r="E23" t="str">
            <v>Vaughan</v>
          </cell>
          <cell r="F23" t="str">
            <v>021 851 5907</v>
          </cell>
        </row>
        <row r="24">
          <cell r="A24" t="str">
            <v>Grunlite Energy</v>
          </cell>
          <cell r="B24" t="str">
            <v>4950256638</v>
          </cell>
          <cell r="C24" t="str">
            <v>https://grunlite.com/</v>
          </cell>
          <cell r="E24" t="str">
            <v>Lainey Godrich</v>
          </cell>
          <cell r="F24" t="str">
            <v>068 196 4586</v>
          </cell>
        </row>
        <row r="25">
          <cell r="A25" t="str">
            <v>Happy Solar</v>
          </cell>
          <cell r="B25">
            <v>4670223298</v>
          </cell>
          <cell r="C25" t="str">
            <v>12-14 Kew Road</v>
          </cell>
          <cell r="D25" t="str">
            <v>Mowbray, Cape Town , 7700</v>
          </cell>
          <cell r="E25" t="str">
            <v>Aniqah Naidoo</v>
          </cell>
          <cell r="F25" t="str">
            <v>081 791 1175</v>
          </cell>
        </row>
        <row r="26">
          <cell r="A26" t="str">
            <v>Herholdts</v>
          </cell>
          <cell r="B26">
            <v>4610107858</v>
          </cell>
          <cell r="C26" t="str">
            <v>5th Street Unit 2&amp;3 Fifth Street Park</v>
          </cell>
          <cell r="D26" t="str">
            <v>Montague, Cape Town, 7441</v>
          </cell>
          <cell r="E26" t="str">
            <v xml:space="preserve">Renee Pretorius </v>
          </cell>
          <cell r="F26" t="str">
            <v>083 337 2840</v>
          </cell>
        </row>
        <row r="27">
          <cell r="A27" t="str">
            <v>Higeco</v>
          </cell>
          <cell r="B27">
            <v>4840168308</v>
          </cell>
          <cell r="C27" t="str">
            <v>Building 6, Fairways Office Park, 11 Niblick Way</v>
          </cell>
          <cell r="D27" t="str">
            <v>Firgrove Rural, Somerset West</v>
          </cell>
          <cell r="E27" t="str">
            <v>Vincent van der Merwe</v>
          </cell>
          <cell r="F27" t="str">
            <v>072 366 0187</v>
          </cell>
        </row>
        <row r="28">
          <cell r="A28" t="str">
            <v>HiSafe (Pty) Ltd</v>
          </cell>
          <cell r="C28" t="str">
            <v>19 Parakeet Str</v>
          </cell>
          <cell r="D28" t="str">
            <v>Sunnydale Cape Town</v>
          </cell>
          <cell r="E28" t="str">
            <v>Tjaard Vos</v>
          </cell>
          <cell r="F28" t="str">
            <v>084 717 9621</v>
          </cell>
        </row>
        <row r="29">
          <cell r="A29" t="str">
            <v>Infantry Security Solutions (Pty) Ltd</v>
          </cell>
          <cell r="B29">
            <v>4120301470</v>
          </cell>
          <cell r="C29" t="str">
            <v>Waterfall Office Park,Mac Mac RoadUnit 1 Howick Garde</v>
          </cell>
          <cell r="D29" t="str">
            <v>Midrand Gauteng</v>
          </cell>
          <cell r="E29" t="str">
            <v>Clinton McCabe</v>
          </cell>
          <cell r="F29" t="str">
            <v>011 315 5055</v>
          </cell>
        </row>
        <row r="30">
          <cell r="A30" t="str">
            <v>Intellicomms</v>
          </cell>
          <cell r="B30">
            <v>4440294975</v>
          </cell>
          <cell r="C30" t="str">
            <v>89 Bute Lande, Sandown</v>
          </cell>
          <cell r="D30" t="str">
            <v>Sandton, 2196</v>
          </cell>
          <cell r="E30" t="str">
            <v>Olwethu Pietersen</v>
          </cell>
          <cell r="F30" t="str">
            <v>010 822 7250</v>
          </cell>
        </row>
        <row r="31">
          <cell r="A31" t="str">
            <v>JA Electrical</v>
          </cell>
          <cell r="B31">
            <v>4010266999</v>
          </cell>
          <cell r="C31" t="str">
            <v>15-51 Lintvelt Road, Wonderboom A/H</v>
          </cell>
          <cell r="D31" t="str">
            <v>Pretoria</v>
          </cell>
          <cell r="E31" t="str">
            <v>Johan Snyman</v>
          </cell>
          <cell r="F31" t="str">
            <v>079 510 6633</v>
          </cell>
        </row>
        <row r="32">
          <cell r="A32" t="str">
            <v>Jinko</v>
          </cell>
          <cell r="B32" t="str">
            <v>TBC</v>
          </cell>
          <cell r="C32" t="str">
            <v>No. 1, Lane 1466, Shenchang Road, Minhang District</v>
          </cell>
          <cell r="D32" t="str">
            <v>Shanghai, China 201106</v>
          </cell>
          <cell r="E32" t="str">
            <v>Louis Bell</v>
          </cell>
          <cell r="F32" t="str">
            <v>060 509 6293</v>
          </cell>
        </row>
        <row r="33">
          <cell r="A33" t="str">
            <v>Kathea</v>
          </cell>
          <cell r="B33">
            <v>4860261702</v>
          </cell>
          <cell r="C33" t="str">
            <v>1st Floor, 7 Naivasha Road</v>
          </cell>
          <cell r="D33" t="str">
            <v>Sunninghill, Johannesburg, 2191</v>
          </cell>
          <cell r="E33" t="str">
            <v>Scott Corry</v>
          </cell>
          <cell r="F33" t="str">
            <v>011 844 9999</v>
          </cell>
        </row>
        <row r="34">
          <cell r="A34" t="str">
            <v>Krannich Solar Energy</v>
          </cell>
          <cell r="B34">
            <v>4950256638</v>
          </cell>
          <cell r="C34" t="str">
            <v>602 Touchstone House, 7 Bree Street</v>
          </cell>
          <cell r="D34" t="str">
            <v>Cape Town, 8000</v>
          </cell>
          <cell r="E34" t="str">
            <v>Jandre Swanepoel</v>
          </cell>
          <cell r="F34" t="str">
            <v xml:space="preserve">021 276 5490 </v>
          </cell>
        </row>
        <row r="35">
          <cell r="A35" t="str">
            <v>L&amp;B Consulting Engineering</v>
          </cell>
          <cell r="B35">
            <v>4370292122</v>
          </cell>
          <cell r="C35" t="str">
            <v>80 Amandel Ave</v>
          </cell>
          <cell r="D35" t="str">
            <v>Val-De-Grace, Pretoria, 0184</v>
          </cell>
          <cell r="E35" t="str">
            <v>Christo Lombard</v>
          </cell>
          <cell r="F35" t="str">
            <v>082 661 1428</v>
          </cell>
        </row>
        <row r="36">
          <cell r="A36" t="str">
            <v>Leading Edge Energy</v>
          </cell>
          <cell r="B36">
            <v>4950256638</v>
          </cell>
          <cell r="C36" t="str">
            <v>116 Fynbos, Sunningdale</v>
          </cell>
          <cell r="D36" t="str">
            <v>Cape Town, 7441</v>
          </cell>
          <cell r="E36" t="str">
            <v xml:space="preserve">Borrie Botha </v>
          </cell>
          <cell r="F36" t="str">
            <v>081 049 3857</v>
          </cell>
        </row>
        <row r="37">
          <cell r="A37" t="str">
            <v>Letaba Logistics</v>
          </cell>
          <cell r="B37">
            <v>4270243415</v>
          </cell>
          <cell r="C37" t="str">
            <v>1 Bokmakierie Road</v>
          </cell>
          <cell r="D37" t="str">
            <v>Joostenberg Vlakte, Cape Town, 7570</v>
          </cell>
          <cell r="E37" t="str">
            <v>Derrick</v>
          </cell>
          <cell r="F37" t="str">
            <v>074 291 4571</v>
          </cell>
        </row>
        <row r="38">
          <cell r="A38" t="str">
            <v>Lintels for Africa</v>
          </cell>
          <cell r="B38">
            <v>4290241043</v>
          </cell>
          <cell r="C38" t="str">
            <v xml:space="preserve">Farm 152 Portion 4, Klein-Vissershok Road </v>
          </cell>
          <cell r="D38" t="str">
            <v>Tableview, Cape Town, 7435</v>
          </cell>
          <cell r="E38" t="str">
            <v>Cheri van Emmenes</v>
          </cell>
          <cell r="F38" t="str">
            <v>021 557 0942</v>
          </cell>
        </row>
        <row r="39">
          <cell r="A39" t="str">
            <v>LMS Electrical</v>
          </cell>
          <cell r="B39">
            <v>4390281287</v>
          </cell>
          <cell r="C39" t="str">
            <v>Unit F2, Infospace Metro Works, Strydom Works</v>
          </cell>
          <cell r="D39" t="str">
            <v>Strydom Park, Johannesburg, 2169</v>
          </cell>
          <cell r="E39" t="str">
            <v>Luke Spolander</v>
          </cell>
          <cell r="F39" t="str">
            <v>010 065 0994</v>
          </cell>
        </row>
        <row r="40">
          <cell r="A40" t="str">
            <v>Luken Solar</v>
          </cell>
          <cell r="B40">
            <v>4650267315</v>
          </cell>
          <cell r="C40" t="str">
            <v>76 Brighton Drive Summerstrand</v>
          </cell>
          <cell r="D40" t="str">
            <v>PORT ELIZABETH, Eastern Cape</v>
          </cell>
          <cell r="E40" t="str">
            <v>Marichell</v>
          </cell>
          <cell r="F40" t="str">
            <v>082 091 6751</v>
          </cell>
        </row>
        <row r="41">
          <cell r="A41" t="str">
            <v>Lumax Energy</v>
          </cell>
          <cell r="B41">
            <v>4060271881</v>
          </cell>
          <cell r="C41" t="str">
            <v>Unit #1, 270 Roan Cres, Corporate Park North</v>
          </cell>
          <cell r="D41" t="str">
            <v>Midrand, 1685</v>
          </cell>
          <cell r="E41" t="str">
            <v>Hannes Pienaar</v>
          </cell>
          <cell r="F41" t="str">
            <v>010 140 4933</v>
          </cell>
        </row>
        <row r="42">
          <cell r="A42" t="str">
            <v xml:space="preserve">Matthews Group </v>
          </cell>
          <cell r="B42">
            <v>4950256638</v>
          </cell>
          <cell r="C42" t="str">
            <v>Unit 2, Cambridge Commercial Park, 22 Witkoppen Road</v>
          </cell>
          <cell r="D42" t="str">
            <v>Paulshof, Sandton, 2191</v>
          </cell>
          <cell r="E42" t="str">
            <v>Wayne Matthe</v>
          </cell>
          <cell r="F42" t="str">
            <v>082 803 0574</v>
          </cell>
        </row>
        <row r="43">
          <cell r="A43" t="str">
            <v>Mkholo's Projects</v>
          </cell>
          <cell r="B43">
            <v>4350209369</v>
          </cell>
          <cell r="C43" t="str">
            <v>212 Daisy Drive Jameson Park</v>
          </cell>
          <cell r="D43" t="str">
            <v>Heidelberg 1438</v>
          </cell>
          <cell r="E43" t="str">
            <v>Willie Masina</v>
          </cell>
          <cell r="F43" t="str">
            <v>011 234 7157</v>
          </cell>
        </row>
        <row r="44">
          <cell r="A44" t="str">
            <v>Modern Eco Energy</v>
          </cell>
          <cell r="B44">
            <v>4370283345</v>
          </cell>
          <cell r="C44" t="str">
            <v>Unit B16 Brackenrite Business Park</v>
          </cell>
          <cell r="D44" t="str">
            <v>Brackenfell Close</v>
          </cell>
          <cell r="E44" t="str">
            <v>Deon Crous</v>
          </cell>
          <cell r="F44" t="str">
            <v>082 923 6462</v>
          </cell>
        </row>
        <row r="45">
          <cell r="A45" t="str">
            <v>MSA</v>
          </cell>
          <cell r="B45">
            <v>4210308138</v>
          </cell>
          <cell r="C45" t="str">
            <v>Intermodal Cargo Supplies,Skypark</v>
          </cell>
          <cell r="D45" t="str">
            <v>Kempton Park, Gauteng</v>
          </cell>
          <cell r="E45" t="str">
            <v>Donrick Moses</v>
          </cell>
          <cell r="F45" t="str">
            <v>076 020 4378</v>
          </cell>
        </row>
        <row r="46">
          <cell r="A46" t="str">
            <v>New Way</v>
          </cell>
          <cell r="B46">
            <v>4700120704</v>
          </cell>
          <cell r="C46" t="str">
            <v>47 Paarden Eiland Rd, Paarden Eiland</v>
          </cell>
          <cell r="D46" t="str">
            <v>Cape Town, 7405</v>
          </cell>
          <cell r="E46" t="str">
            <v>Nick Silver</v>
          </cell>
          <cell r="F46" t="str">
            <v>021 612 0246</v>
          </cell>
        </row>
        <row r="47">
          <cell r="A47" t="str">
            <v>NOSA</v>
          </cell>
          <cell r="B47">
            <v>4240219818</v>
          </cell>
          <cell r="C47" t="str">
            <v>Block E, Lakefield Office Park,272 West Ave,</v>
          </cell>
          <cell r="D47" t="str">
            <v>Centurion, 0157</v>
          </cell>
          <cell r="E47" t="str">
            <v>Vaunee Poirier</v>
          </cell>
          <cell r="F47" t="str">
            <v>087 286 8222</v>
          </cell>
        </row>
        <row r="48">
          <cell r="A48" t="str">
            <v>OKHUSELEKO Consulting</v>
          </cell>
          <cell r="B48">
            <v>4950256638</v>
          </cell>
          <cell r="C48" t="str">
            <v>74 15th Avenue, Boston</v>
          </cell>
          <cell r="D48" t="str">
            <v>Bellville, 7530</v>
          </cell>
          <cell r="E48" t="str">
            <v>Daniel Maloney</v>
          </cell>
          <cell r="F48" t="str">
            <v>082 900 9292</v>
          </cell>
        </row>
        <row r="49">
          <cell r="A49" t="str">
            <v>OKUSHA Engineering CC</v>
          </cell>
          <cell r="B49">
            <v>4190228504</v>
          </cell>
          <cell r="C49" t="str">
            <v>Emalahleni, Mpumalanga</v>
          </cell>
          <cell r="D49" t="str">
            <v>South Africa</v>
          </cell>
          <cell r="E49" t="str">
            <v>Grizelda Cilliers</v>
          </cell>
          <cell r="F49" t="str">
            <v>013 246 2697</v>
          </cell>
        </row>
        <row r="50">
          <cell r="A50" t="str">
            <v>Otto Wireless</v>
          </cell>
          <cell r="B50">
            <v>4050256165</v>
          </cell>
          <cell r="C50" t="str">
            <v>58 Wakis Ave, Strydompark</v>
          </cell>
          <cell r="D50" t="str">
            <v>Randburg, 2194</v>
          </cell>
          <cell r="E50" t="str">
            <v>Don Todd</v>
          </cell>
          <cell r="F50" t="str">
            <v>011 791 1033</v>
          </cell>
        </row>
        <row r="51">
          <cell r="A51" t="str">
            <v>Plumbryt Service</v>
          </cell>
          <cell r="B51" t="str">
            <v>N/A</v>
          </cell>
          <cell r="C51" t="str">
            <v>ERF 3246 Ext 35 Velvet Cres</v>
          </cell>
          <cell r="D51" t="str">
            <v>Fourways, 2191</v>
          </cell>
          <cell r="E51" t="str">
            <v>plumbrytprojects@gmail.com</v>
          </cell>
        </row>
        <row r="52">
          <cell r="A52" t="str">
            <v>Powewize</v>
          </cell>
          <cell r="B52">
            <v>4360245718</v>
          </cell>
          <cell r="C52" t="str">
            <v>1010 Marine Dr, Shelly Beach</v>
          </cell>
          <cell r="D52" t="str">
            <v>Margate, 4265</v>
          </cell>
          <cell r="E52" t="str">
            <v>Shuan Tapson</v>
          </cell>
          <cell r="F52" t="str">
            <v>083 408 3439</v>
          </cell>
        </row>
        <row r="53">
          <cell r="A53" t="str">
            <v>RayTech Solar Solutions</v>
          </cell>
          <cell r="B53">
            <v>4900306798</v>
          </cell>
          <cell r="C53" t="str">
            <v>120 Panorama Road, Rooihuiskraal</v>
          </cell>
          <cell r="D53" t="str">
            <v>Centurion, 0157</v>
          </cell>
          <cell r="E53" t="str">
            <v>Bernard Voster</v>
          </cell>
          <cell r="F53" t="str">
            <v>076 940 8241</v>
          </cell>
        </row>
        <row r="54">
          <cell r="A54" t="str">
            <v>Rubicon</v>
          </cell>
          <cell r="B54">
            <v>4200105700</v>
          </cell>
          <cell r="C54" t="str">
            <v>5 Richmond Park 1B Hansen Cl, Richmond Park</v>
          </cell>
          <cell r="D54" t="str">
            <v>Cape Town, 7441</v>
          </cell>
          <cell r="E54" t="str">
            <v>Ryan Janse Vna Rensburg</v>
          </cell>
          <cell r="F54" t="str">
            <v>080 782 4266</v>
          </cell>
        </row>
        <row r="55">
          <cell r="A55" t="str">
            <v>Sales Hire Ablutions</v>
          </cell>
          <cell r="B55">
            <v>4300227370</v>
          </cell>
          <cell r="C55" t="str">
            <v>No,9 Cradick Street</v>
          </cell>
          <cell r="D55" t="str">
            <v>Parow Industria</v>
          </cell>
          <cell r="E55" t="str">
            <v>Chante</v>
          </cell>
          <cell r="F55" t="str">
            <v>021 931 2560</v>
          </cell>
        </row>
        <row r="56">
          <cell r="A56" t="str">
            <v>Schletter Solar</v>
          </cell>
          <cell r="B56">
            <v>4370260228</v>
          </cell>
          <cell r="C56" t="str">
            <v>Alphen Square West. Unit B. Corner of George &amp;, 15th Road</v>
          </cell>
          <cell r="D56" t="str">
            <v>Midrand, 1685</v>
          </cell>
          <cell r="E56" t="str">
            <v>Dean Lewis</v>
          </cell>
          <cell r="F56" t="str">
            <v>064 517 4849</v>
          </cell>
        </row>
        <row r="57">
          <cell r="A57" t="str">
            <v>Security Fencing and Alarms CC</v>
          </cell>
          <cell r="B57">
            <v>4730114826</v>
          </cell>
          <cell r="C57" t="str">
            <v>94 Alumina Alee</v>
          </cell>
          <cell r="D57" t="str">
            <v>Alton, Richards Bay</v>
          </cell>
          <cell r="E57" t="str">
            <v>Neville Loosemore</v>
          </cell>
          <cell r="F57" t="str">
            <v>035 751 1384</v>
          </cell>
        </row>
        <row r="58">
          <cell r="A58" t="str">
            <v>Segen Solar</v>
          </cell>
          <cell r="B58" t="str">
            <v>TBC</v>
          </cell>
          <cell r="C58" t="str">
            <v>245 Masjien St, Strydompark</v>
          </cell>
          <cell r="D58" t="str">
            <v>Randburg, 2194</v>
          </cell>
          <cell r="E58" t="str">
            <v>Ralph Jennings</v>
          </cell>
          <cell r="F58" t="str">
            <v>011 085 2600</v>
          </cell>
        </row>
        <row r="59">
          <cell r="A59" t="str">
            <v>SIAAC South Africa (Pty) Ltd</v>
          </cell>
          <cell r="B59" t="str">
            <v>4730319219</v>
          </cell>
          <cell r="C59" t="str">
            <v>1 Gulfstream Avenue, Airport Industria</v>
          </cell>
          <cell r="D59" t="str">
            <v>Cape Town, 7490</v>
          </cell>
          <cell r="E59" t="str">
            <v>moestapha@siaac-group.com</v>
          </cell>
          <cell r="F59" t="str">
            <v>021 111 0425</v>
          </cell>
        </row>
        <row r="60">
          <cell r="A60" t="str">
            <v>Solar Europe</v>
          </cell>
          <cell r="B60">
            <v>4570286478</v>
          </cell>
          <cell r="C60" t="str">
            <v>541 Lavender Road</v>
          </cell>
          <cell r="D60" t="str">
            <v>Pretoria, Gauteng</v>
          </cell>
          <cell r="E60" t="str">
            <v>Zanella Kruger</v>
          </cell>
          <cell r="F60" t="str">
            <v>087 654 4800</v>
          </cell>
        </row>
        <row r="61">
          <cell r="A61" t="str">
            <v>Supply Chain Optimisers</v>
          </cell>
          <cell r="B61">
            <v>4400267441</v>
          </cell>
          <cell r="C61" t="str">
            <v>Unit 6, 5th on Murray, Murray Street</v>
          </cell>
          <cell r="D61" t="str">
            <v>Durbanville, 7551</v>
          </cell>
          <cell r="E61" t="str">
            <v>Carol Thompson</v>
          </cell>
          <cell r="F61" t="str">
            <v>084 367 8888</v>
          </cell>
        </row>
        <row r="62">
          <cell r="A62" t="str">
            <v>Swart Security</v>
          </cell>
          <cell r="B62" t="str">
            <v>N/A</v>
          </cell>
          <cell r="C62" t="str">
            <v>50A Louise Thibault Drive</v>
          </cell>
          <cell r="D62" t="str">
            <v>Edgemead, 7441</v>
          </cell>
          <cell r="E62" t="str">
            <v>Hendrik Swart</v>
          </cell>
          <cell r="F62" t="str">
            <v>082 415 6614</v>
          </cell>
        </row>
        <row r="63">
          <cell r="A63" t="str">
            <v>Switchboard Group</v>
          </cell>
          <cell r="B63">
            <v>4730105501</v>
          </cell>
          <cell r="C63" t="str">
            <v>19 Benbow Avenue, Epping 1</v>
          </cell>
          <cell r="D63" t="str">
            <v>Cape Town, 7460</v>
          </cell>
          <cell r="E63" t="str">
            <v>info@switchman.co.za</v>
          </cell>
          <cell r="F63" t="str">
            <v>021 534 3313</v>
          </cell>
        </row>
        <row r="64">
          <cell r="A64" t="str">
            <v>The Aircon Specialist</v>
          </cell>
          <cell r="B64" t="str">
            <v>N/A</v>
          </cell>
          <cell r="C64" t="str">
            <v>1 Boshoff St, South Crest</v>
          </cell>
          <cell r="D64" t="str">
            <v>Alberton, JHB, 1447</v>
          </cell>
          <cell r="E64" t="str">
            <v>Ashir Balram</v>
          </cell>
          <cell r="F64" t="str">
            <v>081 706 8084</v>
          </cell>
        </row>
        <row r="65">
          <cell r="A65" t="str">
            <v>The Engineering Hub</v>
          </cell>
          <cell r="B65">
            <v>4390259143</v>
          </cell>
          <cell r="C65" t="str">
            <v>2 Alabaster Road Baakens Valley</v>
          </cell>
          <cell r="D65" t="str">
            <v>PORT ELIZABETH, Eastern Cape</v>
          </cell>
          <cell r="E65" t="str">
            <v>Devan</v>
          </cell>
          <cell r="F65" t="str">
            <v>081 456 1241</v>
          </cell>
        </row>
        <row r="66">
          <cell r="A66" t="str">
            <v>Thula Moya</v>
          </cell>
          <cell r="B66">
            <v>4430290728</v>
          </cell>
          <cell r="C66" t="str">
            <v>Ravine Lane, Marburg</v>
          </cell>
          <cell r="D66" t="str">
            <v>Portshepstone, KZN</v>
          </cell>
          <cell r="E66" t="str">
            <v>Devin Osbourne</v>
          </cell>
          <cell r="F66" t="str">
            <v>076 330 2618</v>
          </cell>
        </row>
        <row r="67">
          <cell r="A67" t="str">
            <v>TISOL Engineering</v>
          </cell>
          <cell r="B67">
            <v>4650275607</v>
          </cell>
          <cell r="C67" t="str">
            <v>8 Ossewa St, Terenure</v>
          </cell>
          <cell r="D67" t="str">
            <v>Kempton Park, 1624</v>
          </cell>
          <cell r="E67" t="str">
            <v>Cass Saula</v>
          </cell>
          <cell r="F67" t="str">
            <v>011 395 5036</v>
          </cell>
        </row>
        <row r="68">
          <cell r="A68" t="str">
            <v>Uccio Projects</v>
          </cell>
          <cell r="B68" t="str">
            <v>TBC</v>
          </cell>
          <cell r="C68" t="str">
            <v>Clacton Road Kensington</v>
          </cell>
          <cell r="D68" t="str">
            <v>Johannesburg 1440</v>
          </cell>
          <cell r="E68" t="str">
            <v>Grant Hiepner</v>
          </cell>
          <cell r="F68" t="str">
            <v>082 464 5882</v>
          </cell>
        </row>
        <row r="69">
          <cell r="A69" t="str">
            <v>Voltex</v>
          </cell>
          <cell r="B69">
            <v>4460171202</v>
          </cell>
          <cell r="C69" t="str">
            <v>105 Commisioner Street</v>
          </cell>
          <cell r="D69" t="str">
            <v>Krugersdorp, 1739</v>
          </cell>
          <cell r="E69" t="str">
            <v>Jabulani Zwane</v>
          </cell>
          <cell r="F69" t="str">
            <v>011 951 5780</v>
          </cell>
        </row>
        <row r="70">
          <cell r="A70" t="str">
            <v>ABB Switchgear</v>
          </cell>
          <cell r="B70">
            <v>4090136104</v>
          </cell>
          <cell r="C70" t="str">
            <v>2 Lake Road,</v>
          </cell>
          <cell r="D70" t="str">
            <v>Edenvale, Gauteng, RSA,</v>
          </cell>
          <cell r="E70" t="str">
            <v>Brain Ngoveni</v>
          </cell>
          <cell r="F70" t="str">
            <v>+27 84 404 1927</v>
          </cell>
        </row>
        <row r="71">
          <cell r="A71" t="str">
            <v>Fuducia Construction</v>
          </cell>
          <cell r="B71">
            <v>4020257822</v>
          </cell>
          <cell r="C71" t="str">
            <v>Unit 10, 25 Ceramic Curve, Alton</v>
          </cell>
          <cell r="D71" t="str">
            <v>Richards Bay, 3900</v>
          </cell>
          <cell r="E71" t="str">
            <v>Daleen Strydom</v>
          </cell>
          <cell r="F71" t="str">
            <v>0832801534</v>
          </cell>
        </row>
        <row r="72">
          <cell r="A72" t="str">
            <v>Logivest</v>
          </cell>
          <cell r="B72">
            <v>4670272949</v>
          </cell>
          <cell r="C72" t="str">
            <v>Portion 36 Farm, Zwartkrans, Mongale City</v>
          </cell>
          <cell r="D72" t="str">
            <v>Gauteng 1739</v>
          </cell>
          <cell r="E72" t="str">
            <v>Vlam Human</v>
          </cell>
          <cell r="F72" t="str">
            <v>(082) 771 4092</v>
          </cell>
        </row>
      </sheetData>
      <sheetData sheetId="2"/>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072.481101736113" createdVersion="8" refreshedVersion="8" minRefreshableVersion="3" recordCount="404" xr:uid="{D37A5069-1A2D-4864-A726-735BFBE61275}">
  <cacheSource type="worksheet">
    <worksheetSource ref="L4:X394"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0.05"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3">
        <m/>
        <d v="2026-04-30T00:00:00"/>
        <s v=""/>
        <d v="2026-02-28T00:00:00"/>
        <d v="2026-07-31T00:00:00"/>
        <d v="2026-05-31T00:00:00"/>
        <d v="2026-06-30T00:00:00"/>
        <d v="2026-08-31T00:00:00"/>
        <d v="2026-09-30T00:00:00"/>
        <d v="2026-03-31T00:00:00"/>
        <d v="2027-11-30T00:00:00"/>
        <d v="2026-10-31T00:00:00"/>
        <d v="2026-05-30T00:00:00"/>
        <d v="2026-06-29T00:00:00"/>
        <d v="2026-07-29T00:00:00"/>
        <d v="2026-08-28T00:00:00"/>
        <s v="2026/04/31"/>
        <d v="2026-01-31T00:00:00" u="1"/>
        <d v="2022-05-31T00:00:00" u="1"/>
        <d v="2027-09-30T00:00:00" u="1"/>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minValue="-1.862645149230957E-9" maxValue="0"/>
    </cacheField>
    <cacheField name="FINANCE PAYMENT DATE" numFmtId="0">
      <sharedItems containsNonDate="0" containsDate="1" containsString="0" containsBlank="1" minDate="2025-03-20T00:00:00" maxDate="2027-11-06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4">
  <r>
    <m/>
    <x v="0"/>
    <m/>
    <m/>
    <m/>
    <m/>
    <m/>
    <m/>
    <x v="0"/>
    <m/>
    <m/>
    <m/>
    <m/>
  </r>
  <r>
    <n v="1"/>
    <x v="1"/>
    <s v="Panels - Ground Mount - Deposit 10%"/>
    <m/>
    <n v="1413.6"/>
    <n v="2365235.52"/>
    <m/>
    <s v="MSA Energy - 000003/02/2026"/>
    <x v="1"/>
    <n v="2431480.8719151765"/>
    <n v="0"/>
    <d v="2026-02-19T00:00:00"/>
    <n v="33532646.899999999"/>
  </r>
  <r>
    <n v="1"/>
    <x v="1"/>
    <s v="Panels - Ground Mount - Batch 1 5577 panels - Required 27 April"/>
    <n v="5577.333333333333"/>
    <m/>
    <n v="7095706.5599999996"/>
    <m/>
    <s v="MSA Energy - 000003/02/2026"/>
    <x v="1"/>
    <n v="7294442.6157455295"/>
    <m/>
    <d v="2026-06-30T00:00:00"/>
    <m/>
  </r>
  <r>
    <n v="1"/>
    <x v="1"/>
    <s v="Panels - Ground Mount - Batch 2 5577 panels - Required 8 June"/>
    <n v="5577.333333333333"/>
    <m/>
    <n v="7095706.5599999996"/>
    <m/>
    <s v="MSA Energy - 000003/02/2026"/>
    <x v="1"/>
    <n v="7294442.6157455295"/>
    <m/>
    <d v="2026-06-30T00:00:00"/>
    <m/>
  </r>
  <r>
    <n v="1"/>
    <x v="1"/>
    <s v="Panels - Ground Mount - Batch 3 5577 panels - Required 13 July"/>
    <n v="5577.333333333333"/>
    <m/>
    <n v="7095706.5599999996"/>
    <m/>
    <s v="MSA Energy - 000003/02/2026"/>
    <x v="1"/>
    <n v="7294442.6157455295"/>
    <m/>
    <d v="2026-06-30T00:00:00"/>
    <m/>
  </r>
  <r>
    <n v="1"/>
    <x v="1"/>
    <m/>
    <m/>
    <m/>
    <m/>
    <m/>
    <m/>
    <x v="0"/>
    <n v="0"/>
    <m/>
    <m/>
    <m/>
  </r>
  <r>
    <n v="1"/>
    <x v="1"/>
    <s v="Panels - RoofTop - 5090 panels - Class A Fire Rating - Deposit 10%"/>
    <n v="4970"/>
    <n v="1822.45"/>
    <n v="905757.65"/>
    <m/>
    <s v="MSA Energy - 000003/02/2026"/>
    <x v="1"/>
    <n v="931126.04725547216"/>
    <m/>
    <d v="2026-02-19T00:00:00"/>
    <m/>
  </r>
  <r>
    <n v="1"/>
    <x v="1"/>
    <s v="Panels - RoofTop - 5090 panels - Class A Fire Rating - Balance 90% - Required by 27 April"/>
    <m/>
    <m/>
    <n v="8151818.8500000006"/>
    <m/>
    <s v="MSA Energy - 000003/02/2026"/>
    <x v="1"/>
    <n v="8380134.4252992505"/>
    <m/>
    <d v="2026-06-30T00:00:00"/>
    <m/>
  </r>
  <r>
    <n v="1"/>
    <x v="1"/>
    <m/>
    <m/>
    <m/>
    <m/>
    <m/>
    <m/>
    <x v="0"/>
    <n v="0"/>
    <m/>
    <m/>
    <m/>
  </r>
  <r>
    <n v="1"/>
    <x v="1"/>
    <s v="Panels Carport - Deposit 10%"/>
    <n v="312"/>
    <n v="1413.6"/>
    <n v="44104.32"/>
    <m/>
    <s v="MSA Energy - 000003/02/2026"/>
    <x v="1"/>
    <n v="45339.590726603819"/>
    <m/>
    <d v="2026-02-19T00:00:00"/>
    <m/>
  </r>
  <r>
    <n v="1"/>
    <x v="1"/>
    <s v="Panels Carport - Balance - 312 panels - Required 6 July"/>
    <m/>
    <m/>
    <n v="396938.87999999995"/>
    <m/>
    <s v="MSA Energy - 000003/02/2026"/>
    <x v="1"/>
    <n v="408056.31653943431"/>
    <m/>
    <d v="2026-06-30T00:00:00"/>
    <m/>
  </r>
  <r>
    <n v="1"/>
    <x v="1"/>
    <m/>
    <m/>
    <m/>
    <m/>
    <m/>
    <m/>
    <x v="2"/>
    <n v="0"/>
    <m/>
    <m/>
    <m/>
  </r>
  <r>
    <n v="1"/>
    <x v="1"/>
    <s v="Spares - Required by August"/>
    <n v="270"/>
    <n v="1413.6"/>
    <n v="381672"/>
    <m/>
    <s v="MSA Energy - 000003/02/2026"/>
    <x v="1"/>
    <n v="392361.84282637923"/>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3"/>
    <n v="470933.13476285973"/>
    <n v="0"/>
    <d v="2026-01-30T00:00:00"/>
    <n v="3679305.0099999993"/>
  </r>
  <r>
    <n v="2"/>
    <x v="2"/>
    <s v="Inverter - Huawei 330KTL - Deposit 25% - Release stock from Port"/>
    <m/>
    <m/>
    <n v="839381.20499999996"/>
    <m/>
    <s v="MSA Energy PIZO/DM/CPT/00011/10/2025"/>
    <x v="1"/>
    <n v="2354665.6738142986"/>
    <m/>
    <d v="2026-02-19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9T00:00:00"/>
    <m/>
  </r>
  <r>
    <n v="2"/>
    <x v="2"/>
    <s v="Spares - Balance 70%"/>
    <m/>
    <m/>
    <n v="207376.533"/>
    <m/>
    <s v="MSA Energy PIZO/DM/CPT/00011/10/2025"/>
    <x v="1"/>
    <n v="581740.93117765011"/>
    <m/>
    <d v="2026-04-28T00:00:00"/>
    <m/>
  </r>
  <r>
    <n v="2"/>
    <x v="2"/>
    <m/>
    <m/>
    <m/>
    <m/>
    <m/>
    <m/>
    <x v="2"/>
    <n v="0"/>
    <m/>
    <m/>
    <m/>
  </r>
  <r>
    <n v="2"/>
    <x v="2"/>
    <s v="Victron Multiplus2 3kW"/>
    <n v="1"/>
    <n v="8944"/>
    <n v="8944"/>
    <m/>
    <m/>
    <x v="4"/>
    <n v="25090.065945180519"/>
    <m/>
    <d v="2026-07-31T00:00:00"/>
    <m/>
  </r>
  <r>
    <n v="2"/>
    <x v="2"/>
    <s v="CerboGX"/>
    <n v="1"/>
    <n v="3424"/>
    <n v="3424"/>
    <m/>
    <m/>
    <x v="4"/>
    <n v="9605.1415246308225"/>
    <m/>
    <d v="2026-07-31T00:00:00"/>
    <m/>
  </r>
  <r>
    <n v="2"/>
    <x v="2"/>
    <s v="F/Won 5kWh ETower"/>
    <n v="1"/>
    <n v="13160"/>
    <n v="13160"/>
    <m/>
    <m/>
    <x v="4"/>
    <n v="36916.957495368471"/>
    <m/>
    <d v="2026-07-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3"/>
    <n v="2076309.4418193656"/>
    <m/>
    <d v="2026-02-19T00:00:00"/>
    <m/>
  </r>
  <r>
    <n v="3"/>
    <x v="3"/>
    <s v="Ground Mount Structure Balance - Zone 1"/>
    <n v="0.7"/>
    <m/>
    <n v="2087864.1915250563"/>
    <m/>
    <m/>
    <x v="1"/>
    <n v="4844722.0309118526"/>
    <m/>
    <d v="2026-04-30T00:00:00"/>
    <m/>
  </r>
  <r>
    <n v="3"/>
    <x v="3"/>
    <m/>
    <m/>
    <m/>
    <m/>
    <m/>
    <m/>
    <x v="2"/>
    <n v="0"/>
    <m/>
    <m/>
    <m/>
  </r>
  <r>
    <n v="3"/>
    <x v="3"/>
    <s v="Ground Mount Structure Design - Zone 2"/>
    <n v="0.3"/>
    <n v="2982663.1307500806"/>
    <n v="894798.93922502419"/>
    <m/>
    <s v="Schletter INVQ0176"/>
    <x v="3"/>
    <n v="2076309.4418193656"/>
    <m/>
    <d v="2026-02-19T00:00:00"/>
    <m/>
  </r>
  <r>
    <n v="3"/>
    <x v="3"/>
    <s v="Ground Mount Structure Balance - Zone 2"/>
    <n v="0.7"/>
    <m/>
    <n v="2087864.1915250563"/>
    <m/>
    <m/>
    <x v="5"/>
    <n v="4844722.0309118526"/>
    <m/>
    <d v="2026-05-29T00:00:00"/>
    <m/>
  </r>
  <r>
    <n v="3"/>
    <x v="3"/>
    <m/>
    <m/>
    <m/>
    <m/>
    <m/>
    <m/>
    <x v="2"/>
    <n v="0"/>
    <m/>
    <m/>
    <m/>
  </r>
  <r>
    <n v="3"/>
    <x v="3"/>
    <s v="Ground Mount Structure Design - Zone 3"/>
    <n v="0.3"/>
    <n v="3355496.0220938404"/>
    <n v="1006648.806628152"/>
    <m/>
    <s v="Schletter INVQ0176"/>
    <x v="3"/>
    <n v="2335848.1220467859"/>
    <m/>
    <d v="2026-02-19T00:00:00"/>
    <m/>
  </r>
  <r>
    <n v="3"/>
    <x v="3"/>
    <s v="Ground Mount Structure Balance - Zone 3"/>
    <n v="0.7"/>
    <m/>
    <n v="2348847.2154656881"/>
    <m/>
    <m/>
    <x v="6"/>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6"/>
    <n v="673891.76388222631"/>
    <m/>
    <d v="2026-03-03T00:00:00"/>
    <m/>
  </r>
  <r>
    <n v="3"/>
    <x v="3"/>
    <s v="Carport Balance"/>
    <n v="0.7"/>
    <m/>
    <n v="677642"/>
    <m/>
    <m/>
    <x v="7"/>
    <n v="1572414.1157251946"/>
    <m/>
    <d v="2026-08-17T00:00:00"/>
    <m/>
  </r>
  <r>
    <n v="3"/>
    <x v="3"/>
    <m/>
    <m/>
    <m/>
    <m/>
    <m/>
    <m/>
    <x v="2"/>
    <n v="0"/>
    <m/>
    <m/>
    <m/>
  </r>
  <r>
    <n v="3"/>
    <x v="3"/>
    <s v="Engineering Signoff - deposit"/>
    <n v="0.5"/>
    <n v="190440"/>
    <n v="95220"/>
    <m/>
    <m/>
    <x v="7"/>
    <n v="220950.40168607174"/>
    <m/>
    <d v="2026-08-31T00:00:00"/>
    <m/>
  </r>
  <r>
    <n v="3"/>
    <x v="3"/>
    <s v="Engineering Signoff - balance"/>
    <n v="0.5"/>
    <m/>
    <n v="95220"/>
    <m/>
    <m/>
    <x v="8"/>
    <n v="220950.40168607174"/>
    <m/>
    <d v="2026-09-14T00:00:00"/>
    <m/>
  </r>
  <r>
    <n v="3"/>
    <x v="3"/>
    <m/>
    <m/>
    <m/>
    <m/>
    <m/>
    <m/>
    <x v="2"/>
    <n v="0"/>
    <m/>
    <m/>
    <m/>
  </r>
  <r>
    <m/>
    <x v="0"/>
    <m/>
    <m/>
    <m/>
    <m/>
    <m/>
    <m/>
    <x v="2"/>
    <m/>
    <m/>
    <m/>
    <m/>
  </r>
  <r>
    <n v="4"/>
    <x v="4"/>
    <s v="DC Cable - Ground Mount - Deposit"/>
    <n v="296000"/>
    <n v="14"/>
    <n v="414400"/>
    <m/>
    <m/>
    <x v="5"/>
    <n v="384519.98853227677"/>
    <n v="0"/>
    <d v="2026-05-31T00:00:00"/>
    <n v="9713368.4000000004"/>
  </r>
  <r>
    <n v="4"/>
    <x v="4"/>
    <s v="DC Cable - Ground Mount - Balance"/>
    <m/>
    <m/>
    <n v="3729600"/>
    <m/>
    <m/>
    <x v="4"/>
    <n v="3460679.896790491"/>
    <m/>
    <d v="2026-07-28T00:00:00"/>
    <m/>
  </r>
  <r>
    <n v="4"/>
    <x v="4"/>
    <m/>
    <m/>
    <m/>
    <m/>
    <m/>
    <m/>
    <x v="2"/>
    <n v="0"/>
    <m/>
    <m/>
    <m/>
  </r>
  <r>
    <n v="4"/>
    <x v="4"/>
    <s v="DC Cable - RoofTop - Deposit"/>
    <n v="118000"/>
    <n v="14"/>
    <n v="165200"/>
    <m/>
    <m/>
    <x v="5"/>
    <n v="153288.37380678602"/>
    <m/>
    <d v="2026-05-31T00:00:00"/>
    <m/>
  </r>
  <r>
    <n v="4"/>
    <x v="4"/>
    <s v="DC Cable - RoofTop - Balance"/>
    <m/>
    <m/>
    <n v="1486800"/>
    <m/>
    <m/>
    <x v="4"/>
    <n v="1379595.3642610742"/>
    <m/>
    <d v="2026-07-28T00:00:00"/>
    <m/>
  </r>
  <r>
    <n v="4"/>
    <x v="4"/>
    <m/>
    <m/>
    <m/>
    <m/>
    <m/>
    <m/>
    <x v="2"/>
    <n v="0"/>
    <m/>
    <m/>
    <m/>
  </r>
  <r>
    <n v="4"/>
    <x v="4"/>
    <s v="DC Cable - Carport - Deposit"/>
    <n v="6000"/>
    <n v="14"/>
    <n v="8400"/>
    <m/>
    <m/>
    <x v="5"/>
    <n v="7794.324091870476"/>
    <m/>
    <d v="2026-05-31T00:00:00"/>
    <m/>
  </r>
  <r>
    <n v="4"/>
    <x v="4"/>
    <s v="DC Cable - Carport - Balance"/>
    <m/>
    <m/>
    <n v="75600"/>
    <m/>
    <m/>
    <x v="4"/>
    <n v="70148.916826834276"/>
    <m/>
    <d v="2026-07-28T00:00:00"/>
    <m/>
  </r>
  <r>
    <n v="4"/>
    <x v="4"/>
    <m/>
    <m/>
    <m/>
    <m/>
    <m/>
    <m/>
    <x v="2"/>
    <n v="0"/>
    <m/>
    <m/>
    <m/>
  </r>
  <r>
    <n v="4"/>
    <x v="4"/>
    <s v="DC Equipment (Schletter) - Ground Mount - Deposit"/>
    <n v="0.5"/>
    <n v="633272.9"/>
    <n v="316636.45"/>
    <m/>
    <m/>
    <x v="5"/>
    <n v="293805.60840468347"/>
    <m/>
    <d v="2026-05-31T00:00:00"/>
    <m/>
  </r>
  <r>
    <n v="4"/>
    <x v="4"/>
    <s v="DC Equipment (Schletter) - Ground Mount - Balance"/>
    <n v="0.5"/>
    <m/>
    <n v="316636.45"/>
    <m/>
    <m/>
    <x v="6"/>
    <n v="293805.60840468347"/>
    <m/>
    <d v="2026-06-18T00:00:00"/>
    <m/>
  </r>
  <r>
    <n v="4"/>
    <x v="4"/>
    <m/>
    <m/>
    <m/>
    <m/>
    <m/>
    <m/>
    <x v="2"/>
    <n v="0"/>
    <m/>
    <m/>
    <m/>
  </r>
  <r>
    <n v="4"/>
    <x v="4"/>
    <s v="DC Equipment Installer - Ground Mount - Deposit"/>
    <n v="0.5"/>
    <n v="300000"/>
    <n v="150000"/>
    <m/>
    <m/>
    <x v="5"/>
    <n v="139184.35878340135"/>
    <m/>
    <d v="2026-05-06T00:00:00"/>
    <m/>
  </r>
  <r>
    <n v="4"/>
    <x v="4"/>
    <s v="DC Equipment Installer - Ground Mount - Balance"/>
    <n v="0.5"/>
    <m/>
    <n v="150000"/>
    <m/>
    <m/>
    <x v="7"/>
    <n v="139184.35878340135"/>
    <m/>
    <d v="2026-08-11T00:00:00"/>
    <m/>
  </r>
  <r>
    <n v="4"/>
    <x v="4"/>
    <m/>
    <m/>
    <m/>
    <m/>
    <m/>
    <m/>
    <x v="2"/>
    <n v="0"/>
    <m/>
    <m/>
    <m/>
  </r>
  <r>
    <n v="4"/>
    <x v="4"/>
    <s v="DC Equipment - Carport - Deposit"/>
    <n v="0.5"/>
    <n v="500000"/>
    <n v="250000"/>
    <m/>
    <m/>
    <x v="6"/>
    <n v="231973.9313056689"/>
    <m/>
    <d v="2026-06-25T00:00:00"/>
    <m/>
  </r>
  <r>
    <n v="4"/>
    <x v="4"/>
    <s v="DC Equipment - Carport - Balance"/>
    <n v="0.5"/>
    <m/>
    <n v="250000"/>
    <m/>
    <m/>
    <x v="6"/>
    <n v="231973.9313056689"/>
    <m/>
    <d v="2026-06-18T00:00:00"/>
    <m/>
  </r>
  <r>
    <n v="4"/>
    <x v="4"/>
    <m/>
    <m/>
    <m/>
    <m/>
    <m/>
    <m/>
    <x v="2"/>
    <n v="0"/>
    <m/>
    <m/>
    <m/>
  </r>
  <r>
    <n v="4"/>
    <x v="4"/>
    <s v="DC Equipment - Rooftop - Deposit"/>
    <n v="0.5"/>
    <n v="2400095.5"/>
    <n v="1200047.75"/>
    <m/>
    <m/>
    <x v="1"/>
    <n v="1113519.1772880901"/>
    <m/>
    <d v="2026-04-29T00:00:00"/>
    <m/>
  </r>
  <r>
    <n v="4"/>
    <x v="4"/>
    <s v="DC Equipment - Rooftop - Balance"/>
    <n v="0.5"/>
    <m/>
    <n v="1200047.75"/>
    <m/>
    <m/>
    <x v="6"/>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5"/>
    <n v="580200.19388672884"/>
    <n v="0"/>
    <d v="2026-05-31T00:00:00"/>
    <n v="3624000"/>
  </r>
  <r>
    <n v="5"/>
    <x v="5"/>
    <m/>
    <m/>
    <m/>
    <m/>
    <m/>
    <m/>
    <x v="2"/>
    <n v="0"/>
    <m/>
    <m/>
    <m/>
  </r>
  <r>
    <n v="5"/>
    <x v="5"/>
    <m/>
    <m/>
    <m/>
    <m/>
    <m/>
    <m/>
    <x v="2"/>
    <n v="0"/>
    <m/>
    <m/>
    <m/>
  </r>
  <r>
    <n v="5"/>
    <x v="5"/>
    <s v="Power Plant Controller and Huawei Commissioning"/>
    <n v="2"/>
    <n v="612000"/>
    <n v="1224000"/>
    <m/>
    <m/>
    <x v="5"/>
    <n v="1420330.0746347122"/>
    <m/>
    <d v="2026-05-31T00:00:00"/>
    <m/>
  </r>
  <r>
    <n v="5"/>
    <x v="5"/>
    <m/>
    <m/>
    <m/>
    <m/>
    <m/>
    <m/>
    <x v="2"/>
    <n v="0"/>
    <m/>
    <m/>
    <m/>
  </r>
  <r>
    <n v="5"/>
    <x v="5"/>
    <m/>
    <m/>
    <m/>
    <m/>
    <m/>
    <m/>
    <x v="2"/>
    <n v="0"/>
    <m/>
    <m/>
    <m/>
  </r>
  <r>
    <n v="5"/>
    <x v="5"/>
    <s v="Scada Control"/>
    <n v="1"/>
    <n v="1050000"/>
    <n v="1050000"/>
    <m/>
    <m/>
    <x v="5"/>
    <n v="1218420.4071621303"/>
    <m/>
    <d v="2026-05-31T00:00:00"/>
    <m/>
  </r>
  <r>
    <n v="5"/>
    <x v="5"/>
    <m/>
    <m/>
    <m/>
    <m/>
    <m/>
    <m/>
    <x v="2"/>
    <n v="0"/>
    <m/>
    <m/>
    <m/>
  </r>
  <r>
    <n v="5"/>
    <x v="5"/>
    <s v="Network Cable Installation"/>
    <m/>
    <m/>
    <n v="350000"/>
    <m/>
    <m/>
    <x v="5"/>
    <n v="406140.13572071015"/>
    <m/>
    <d v="2026-05-31T00:00:00"/>
    <m/>
  </r>
  <r>
    <n v="5"/>
    <x v="5"/>
    <m/>
    <m/>
    <m/>
    <m/>
    <m/>
    <m/>
    <x v="0"/>
    <n v="0"/>
    <m/>
    <m/>
    <m/>
  </r>
  <r>
    <n v="5"/>
    <x v="5"/>
    <m/>
    <m/>
    <m/>
    <m/>
    <m/>
    <m/>
    <x v="2"/>
    <n v="0"/>
    <m/>
    <m/>
    <m/>
  </r>
  <r>
    <n v="5"/>
    <x v="5"/>
    <s v="Revenue Metering"/>
    <n v="2"/>
    <n v="250000"/>
    <n v="500000"/>
    <m/>
    <m/>
    <x v="5"/>
    <n v="580200.19388672884"/>
    <m/>
    <d v="2026-05-31T00:00:00"/>
    <m/>
  </r>
  <r>
    <n v="5"/>
    <x v="5"/>
    <m/>
    <m/>
    <m/>
    <m/>
    <m/>
    <m/>
    <x v="2"/>
    <n v="0"/>
    <m/>
    <m/>
    <m/>
  </r>
  <r>
    <n v="5"/>
    <x v="5"/>
    <m/>
    <m/>
    <m/>
    <m/>
    <m/>
    <m/>
    <x v="2"/>
    <n v="0"/>
    <m/>
    <m/>
    <m/>
  </r>
  <r>
    <n v="5"/>
    <x v="5"/>
    <m/>
    <m/>
    <m/>
    <m/>
    <m/>
    <m/>
    <x v="2"/>
    <m/>
    <m/>
    <m/>
    <m/>
  </r>
  <r>
    <m/>
    <x v="0"/>
    <m/>
    <m/>
    <m/>
    <m/>
    <m/>
    <m/>
    <x v="2"/>
    <m/>
    <m/>
    <m/>
    <m/>
  </r>
  <r>
    <n v="6"/>
    <x v="6"/>
    <m/>
    <m/>
    <m/>
    <m/>
    <m/>
    <m/>
    <x v="2"/>
    <m/>
    <n v="0"/>
    <m/>
    <n v="26138334.106086958"/>
  </r>
  <r>
    <n v="6"/>
    <x v="6"/>
    <m/>
    <m/>
    <m/>
    <m/>
    <m/>
    <m/>
    <x v="2"/>
    <m/>
    <m/>
    <m/>
    <m/>
  </r>
  <r>
    <n v="6"/>
    <x v="6"/>
    <s v="Huawei Smart Transformers - 6MVA 0.8/11kV - Design &amp; Manufacturing 5%"/>
    <n v="3"/>
    <n v="2780642.94"/>
    <n v="417096.44100000005"/>
    <s v="PO4520-MON-20251203 - JP Approved"/>
    <s v="MSA Energy PIZO/DM/CPT/00011/10/2025"/>
    <x v="3"/>
    <n v="322308.94481935876"/>
    <m/>
    <d v="2026-01-29T00:00:00"/>
    <m/>
  </r>
  <r>
    <n v="6"/>
    <x v="6"/>
    <s v="Huawei Smart Transformers - 6MVA 0.8/11kV - Deposit 25% - Release stock from port"/>
    <m/>
    <m/>
    <n v="2085482.2050000001"/>
    <m/>
    <s v="MSA Energy PIZO/DM/CPT/00011/10/2025"/>
    <x v="1"/>
    <n v="1611544.7240967934"/>
    <m/>
    <d v="2026-02-19T00:00:00"/>
    <m/>
  </r>
  <r>
    <n v="6"/>
    <x v="6"/>
    <s v="Huawei Smart Transformers - 6MVA 0.8/11kV - Balance 70% - Arrival onsite"/>
    <m/>
    <m/>
    <n v="5839350.1739999996"/>
    <m/>
    <s v="MSA Energy PIZO/DM/CPT/00011/10/2025"/>
    <x v="5"/>
    <n v="4512325.2274710219"/>
    <m/>
    <d v="2026-06-25T00:00:00"/>
    <m/>
  </r>
  <r>
    <n v="7"/>
    <x v="6"/>
    <m/>
    <m/>
    <m/>
    <m/>
    <m/>
    <m/>
    <x v="0"/>
    <m/>
    <m/>
    <m/>
    <m/>
  </r>
  <r>
    <n v="6"/>
    <x v="6"/>
    <m/>
    <m/>
    <m/>
    <m/>
    <m/>
    <m/>
    <x v="0"/>
    <m/>
    <m/>
    <m/>
    <m/>
  </r>
  <r>
    <n v="6"/>
    <x v="6"/>
    <s v="Transformer Assecories with Spares - Design &amp; Manufacturing 5%"/>
    <m/>
    <n v="109155.45999999903"/>
    <n v="5457.7729999999519"/>
    <m/>
    <s v="MSA Energy PIZO/DM/CPT/00011/10/2025"/>
    <x v="3"/>
    <n v="4217.4635978099132"/>
    <m/>
    <d v="2026-01-29T00:00:00"/>
    <m/>
  </r>
  <r>
    <n v="6"/>
    <x v="6"/>
    <s v="Transformer Assecories with Spares - Deposit 25% - Release stock from port"/>
    <m/>
    <m/>
    <n v="27288.864999999758"/>
    <m/>
    <s v="MSA Energy PIZO/DM/CPT/00011/10/2025"/>
    <x v="1"/>
    <n v="21087.317989049567"/>
    <m/>
    <d v="2026-02-19T00:00:00"/>
    <m/>
  </r>
  <r>
    <n v="6"/>
    <x v="6"/>
    <s v="Transformer Assecories with Spares - Balance 70% - Arrival onsite"/>
    <m/>
    <m/>
    <n v="76408.821999999316"/>
    <m/>
    <s v="MSA Energy PIZO/DM/CPT/00011/10/2025"/>
    <x v="5"/>
    <n v="59044.490369338782"/>
    <m/>
    <d v="2026-06-25T00:00:00"/>
    <m/>
  </r>
  <r>
    <n v="6"/>
    <x v="6"/>
    <m/>
    <m/>
    <m/>
    <m/>
    <m/>
    <m/>
    <x v="2"/>
    <n v="0"/>
    <m/>
    <m/>
    <m/>
  </r>
  <r>
    <n v="6"/>
    <x v="6"/>
    <s v="MV RMU and Switchgear - 20% Design"/>
    <n v="0.2"/>
    <n v="4277258"/>
    <n v="855451.60000000009"/>
    <m/>
    <m/>
    <x v="3"/>
    <n v="661045.44521882443"/>
    <m/>
    <d v="2026-02-21T00:00:00"/>
    <m/>
  </r>
  <r>
    <n v="6"/>
    <x v="6"/>
    <s v="MV RMU and Switchgear - 30% Drawing Approval"/>
    <n v="0.3"/>
    <m/>
    <n v="1283177.3999999999"/>
    <m/>
    <m/>
    <x v="1"/>
    <n v="991568.16782823647"/>
    <m/>
    <d v="2026-03-07T00:00:00"/>
    <m/>
  </r>
  <r>
    <n v="6"/>
    <x v="6"/>
    <s v="MV RMU and Switchgear - 30% on import of goods"/>
    <n v="0.3"/>
    <m/>
    <n v="1283177.3999999999"/>
    <m/>
    <m/>
    <x v="5"/>
    <n v="991568.16782823647"/>
    <m/>
    <d v="2026-04-06T00:00:00"/>
    <m/>
  </r>
  <r>
    <n v="6"/>
    <x v="6"/>
    <s v="MV RMU and Switchgear - 10% on FAT"/>
    <n v="0.1"/>
    <m/>
    <n v="427725.80000000005"/>
    <m/>
    <m/>
    <x v="6"/>
    <n v="330522.72260941222"/>
    <m/>
    <d v="2026-06-05T00:00:00"/>
    <m/>
  </r>
  <r>
    <n v="6"/>
    <x v="6"/>
    <s v="MV RMU and Switchgear - 10% on delivery of goods"/>
    <n v="0.1"/>
    <m/>
    <n v="427725.80000000005"/>
    <m/>
    <m/>
    <x v="4"/>
    <n v="330522.72260941222"/>
    <m/>
    <d v="2026-07-05T00:00:00"/>
    <m/>
  </r>
  <r>
    <n v="6"/>
    <x v="6"/>
    <m/>
    <m/>
    <m/>
    <m/>
    <m/>
    <m/>
    <x v="0"/>
    <m/>
    <m/>
    <m/>
    <m/>
  </r>
  <r>
    <n v="6"/>
    <x v="6"/>
    <m/>
    <m/>
    <m/>
    <m/>
    <m/>
    <m/>
    <x v="2"/>
    <m/>
    <m/>
    <m/>
    <m/>
  </r>
  <r>
    <n v="6"/>
    <x v="6"/>
    <m/>
    <m/>
    <m/>
    <m/>
    <m/>
    <m/>
    <x v="2"/>
    <m/>
    <m/>
    <m/>
    <m/>
  </r>
  <r>
    <n v="6"/>
    <x v="6"/>
    <s v="LV AC DBs and cabling"/>
    <n v="2"/>
    <n v="3000000"/>
    <n v="6000000"/>
    <m/>
    <m/>
    <x v="5"/>
    <n v="4636466.4830984557"/>
    <m/>
    <d v="2026-05-31T00:00:00"/>
    <m/>
  </r>
  <r>
    <n v="6"/>
    <x v="6"/>
    <m/>
    <m/>
    <m/>
    <m/>
    <m/>
    <m/>
    <x v="2"/>
    <m/>
    <m/>
    <m/>
    <m/>
  </r>
  <r>
    <n v="6"/>
    <x v="6"/>
    <m/>
    <m/>
    <m/>
    <m/>
    <m/>
    <m/>
    <x v="2"/>
    <m/>
    <m/>
    <m/>
    <m/>
  </r>
  <r>
    <n v="6"/>
    <x v="6"/>
    <s v="MV Cable - 2km - 4x 95mm2 Cu"/>
    <n v="1000"/>
    <n v="1619.3478260869565"/>
    <n v="1619347.8260869565"/>
    <m/>
    <m/>
    <x v="5"/>
    <n v="1251341.9866884199"/>
    <m/>
    <d v="2026-05-31T00:00:00"/>
    <m/>
  </r>
  <r>
    <n v="6"/>
    <x v="6"/>
    <m/>
    <m/>
    <m/>
    <m/>
    <m/>
    <m/>
    <x v="2"/>
    <m/>
    <m/>
    <m/>
    <m/>
  </r>
  <r>
    <n v="6"/>
    <x v="6"/>
    <m/>
    <m/>
    <m/>
    <m/>
    <m/>
    <m/>
    <x v="2"/>
    <m/>
    <m/>
    <m/>
    <m/>
  </r>
  <r>
    <n v="6"/>
    <x v="6"/>
    <s v="UFR / OOBR - SSEG Compliant Relay"/>
    <n v="1"/>
    <n v="18000"/>
    <n v="18000"/>
    <m/>
    <m/>
    <x v="5"/>
    <n v="13909.399449295364"/>
    <m/>
    <d v="2026-05-31T00:00:00"/>
    <m/>
  </r>
  <r>
    <n v="6"/>
    <x v="6"/>
    <m/>
    <m/>
    <m/>
    <m/>
    <m/>
    <m/>
    <x v="2"/>
    <m/>
    <m/>
    <m/>
    <m/>
  </r>
  <r>
    <n v="6"/>
    <x v="6"/>
    <m/>
    <m/>
    <m/>
    <m/>
    <m/>
    <m/>
    <x v="2"/>
    <m/>
    <m/>
    <m/>
    <m/>
  </r>
  <r>
    <n v="6"/>
    <x v="6"/>
    <s v="Comms Cable - 800m 19Core"/>
    <n v="2"/>
    <n v="400000"/>
    <n v="800000"/>
    <m/>
    <m/>
    <x v="5"/>
    <n v="618195.53107979405"/>
    <m/>
    <d v="2026-05-31T00:00:00"/>
    <m/>
  </r>
  <r>
    <n v="6"/>
    <x v="6"/>
    <m/>
    <m/>
    <m/>
    <m/>
    <m/>
    <m/>
    <x v="2"/>
    <m/>
    <m/>
    <m/>
    <m/>
  </r>
  <r>
    <n v="6"/>
    <x v="6"/>
    <m/>
    <m/>
    <m/>
    <m/>
    <m/>
    <m/>
    <x v="2"/>
    <m/>
    <m/>
    <m/>
    <m/>
  </r>
  <r>
    <n v="6"/>
    <x v="6"/>
    <s v="Additional AC Cable Run - 800m 3x185m2 MV XLPE 3C"/>
    <n v="1"/>
    <n v="4972644"/>
    <n v="4972644"/>
    <m/>
    <m/>
    <x v="5"/>
    <n v="3842582.8730634386"/>
    <m/>
    <d v="2026-05-31T00:00:00"/>
    <m/>
  </r>
  <r>
    <n v="6"/>
    <x v="6"/>
    <m/>
    <m/>
    <m/>
    <m/>
    <m/>
    <m/>
    <x v="2"/>
    <m/>
    <m/>
    <m/>
    <m/>
  </r>
  <r>
    <n v="6"/>
    <x v="6"/>
    <m/>
    <m/>
    <m/>
    <m/>
    <m/>
    <m/>
    <x v="2"/>
    <m/>
    <m/>
    <m/>
    <m/>
  </r>
  <r>
    <m/>
    <x v="0"/>
    <m/>
    <m/>
    <m/>
    <m/>
    <m/>
    <m/>
    <x v="2"/>
    <m/>
    <m/>
    <m/>
    <m/>
  </r>
  <r>
    <n v="7"/>
    <x v="7"/>
    <s v="10kWp Charity Donation - Deposit"/>
    <n v="0.5"/>
    <m/>
    <n v="75000"/>
    <m/>
    <m/>
    <x v="8"/>
    <n v="0"/>
    <n v="0"/>
    <d v="2026-09-14T00:00:00"/>
    <n v="650000"/>
  </r>
  <r>
    <n v="7"/>
    <x v="7"/>
    <s v="10kWp Charity Donation - Balance"/>
    <n v="0.5"/>
    <m/>
    <n v="75000"/>
    <m/>
    <m/>
    <x v="8"/>
    <n v="0"/>
    <m/>
    <d v="2026-09-28T00:00:00"/>
    <m/>
  </r>
  <r>
    <n v="7"/>
    <x v="7"/>
    <m/>
    <m/>
    <m/>
    <m/>
    <m/>
    <m/>
    <x v="2"/>
    <n v="0"/>
    <m/>
    <m/>
    <m/>
  </r>
  <r>
    <n v="7"/>
    <x v="7"/>
    <s v="Community Engagement"/>
    <m/>
    <m/>
    <n v="500000"/>
    <m/>
    <m/>
    <x v="8"/>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3"/>
    <n v="3301697.5063067805"/>
    <n v="0"/>
    <d v="2025-03-20T00:00:00"/>
    <n v="17351529.969595"/>
  </r>
  <r>
    <n v="8"/>
    <x v="8"/>
    <s v="Fees to Consultant - IEP"/>
    <n v="0.29090909090999995"/>
    <m/>
    <n v="1500000"/>
    <m/>
    <s v="IEP South Africa Inv: 202505271"/>
    <x v="3"/>
    <n v="1269883.6562734665"/>
    <m/>
    <d v="2025-06-19T00:00:00"/>
    <m/>
  </r>
  <r>
    <n v="8"/>
    <x v="8"/>
    <m/>
    <m/>
    <m/>
    <m/>
    <m/>
    <m/>
    <x v="0"/>
    <n v="0"/>
    <m/>
    <m/>
    <m/>
  </r>
  <r>
    <n v="8"/>
    <x v="8"/>
    <s v="Containerised Inverter Housings - Turnkey Solution at Switchboard - Contianer securement 30%"/>
    <n v="4"/>
    <n v="1373442.48"/>
    <n v="1648130.976"/>
    <s v="PO4611-MON-20260205 - RV Approved"/>
    <s v="Switchboard - 2-SOI002846"/>
    <x v="3"/>
    <n v="1395289.7265469581"/>
    <m/>
    <d v="2026-02-05T00:00:00"/>
    <m/>
  </r>
  <r>
    <n v="8"/>
    <x v="8"/>
    <s v="Containerised Inverter Housings - Turnkey Solution at Switchboard - 20% fitment"/>
    <m/>
    <m/>
    <n v="1098753.9839999999"/>
    <m/>
    <m/>
    <x v="9"/>
    <n v="930193.1510313052"/>
    <m/>
    <d v="2026-03-31T00:00:00"/>
    <m/>
  </r>
  <r>
    <n v="8"/>
    <x v="8"/>
    <s v="Containerised Inverter Housings - Turnkey Solution at Switchboard - 20% on Delivery"/>
    <m/>
    <m/>
    <n v="1098753.9839999999"/>
    <m/>
    <m/>
    <x v="1"/>
    <n v="930193.1510313052"/>
    <m/>
    <d v="2026-04-30T00:00:00"/>
    <m/>
  </r>
  <r>
    <n v="8"/>
    <x v="8"/>
    <s v="Containerised Inverter Housings - Turnkey Solution at Switchboard - Final Payment 30%"/>
    <m/>
    <m/>
    <n v="1648130.976"/>
    <m/>
    <m/>
    <x v="5"/>
    <n v="1395289.7265469581"/>
    <m/>
    <d v="2026-06-30T00:00:00"/>
    <m/>
  </r>
  <r>
    <n v="8"/>
    <x v="8"/>
    <m/>
    <m/>
    <m/>
    <m/>
    <m/>
    <m/>
    <x v="2"/>
    <n v="0"/>
    <m/>
    <m/>
    <m/>
  </r>
  <r>
    <n v="8"/>
    <x v="8"/>
    <s v="KwikSpace Control Room - Design &amp; Manufacture 50%"/>
    <n v="0.5"/>
    <n v="318220.94"/>
    <n v="159110.47"/>
    <s v="PO4619-MON-20260212 - RV Approved"/>
    <m/>
    <x v="3"/>
    <n v="134701.19026332648"/>
    <m/>
    <d v="2026-02-19T00:00:00"/>
    <m/>
  </r>
  <r>
    <n v="8"/>
    <x v="8"/>
    <s v="KwikSpace Control Room - Balance of Payment 50%"/>
    <n v="0.5"/>
    <m/>
    <n v="159110.47"/>
    <m/>
    <m/>
    <x v="1"/>
    <n v="134701.19026332648"/>
    <m/>
    <d v="2026-04-20T00:00:00"/>
    <m/>
  </r>
  <r>
    <n v="8"/>
    <x v="8"/>
    <m/>
    <m/>
    <m/>
    <m/>
    <m/>
    <m/>
    <x v="2"/>
    <n v="0"/>
    <m/>
    <m/>
    <m/>
  </r>
  <r>
    <n v="8"/>
    <x v="8"/>
    <s v="Security Fence - Deposit"/>
    <n v="0.6"/>
    <n v="1658713.46"/>
    <n v="995228.07599999988"/>
    <m/>
    <m/>
    <x v="9"/>
    <n v="842549.24531792488"/>
    <m/>
    <d v="2026-02-19T00:00:00"/>
    <m/>
  </r>
  <r>
    <n v="8"/>
    <x v="8"/>
    <s v="Security Fence - Balance"/>
    <n v="0.4"/>
    <m/>
    <n v="265394.15360000002"/>
    <m/>
    <m/>
    <x v="9"/>
    <n v="224679.79875144668"/>
    <m/>
    <d v="2026-03-21T00:00:00"/>
    <m/>
  </r>
  <r>
    <n v="8"/>
    <x v="8"/>
    <m/>
    <m/>
    <m/>
    <m/>
    <m/>
    <m/>
    <x v="2"/>
    <n v="0"/>
    <m/>
    <m/>
    <m/>
  </r>
  <r>
    <n v="8"/>
    <x v="8"/>
    <s v="Catladder - Deposit"/>
    <n v="0.6"/>
    <n v="425526.28"/>
    <n v="255315.76800000001"/>
    <m/>
    <m/>
    <x v="9"/>
    <n v="216147.54731473877"/>
    <m/>
    <d v="2026-02-19T00:00:00"/>
    <m/>
  </r>
  <r>
    <n v="8"/>
    <x v="8"/>
    <s v="Catladder - Balance"/>
    <n v="0.4"/>
    <m/>
    <n v="170210.51200000002"/>
    <m/>
    <m/>
    <x v="9"/>
    <n v="144098.3648764925"/>
    <m/>
    <d v="2026-03-31T00:00:00"/>
    <m/>
  </r>
  <r>
    <n v="8"/>
    <x v="8"/>
    <m/>
    <m/>
    <m/>
    <m/>
    <m/>
    <m/>
    <x v="2"/>
    <n v="0"/>
    <m/>
    <m/>
    <m/>
  </r>
  <r>
    <n v="8"/>
    <x v="8"/>
    <s v="Fire Detection System - Placing of PO"/>
    <n v="0.6"/>
    <n v="2061424"/>
    <n v="1236854.3999999999"/>
    <m/>
    <m/>
    <x v="3"/>
    <n v="1047107.4584999499"/>
    <m/>
    <d v="2026-02-26T00:00:00"/>
    <m/>
  </r>
  <r>
    <n v="8"/>
    <x v="8"/>
    <s v="Fire Detection System - Installation Complete"/>
    <n v="0.4"/>
    <m/>
    <n v="824569.60000000009"/>
    <m/>
    <m/>
    <x v="1"/>
    <n v="698071.63899996667"/>
    <m/>
    <d v="2026-04-30T00:00:00"/>
    <m/>
  </r>
  <r>
    <n v="8"/>
    <x v="8"/>
    <m/>
    <m/>
    <m/>
    <m/>
    <m/>
    <m/>
    <x v="0"/>
    <n v="0"/>
    <m/>
    <m/>
    <m/>
  </r>
  <r>
    <n v="8"/>
    <x v="8"/>
    <s v="Lightning Protection - Design"/>
    <n v="0.5"/>
    <n v="701966.6"/>
    <n v="350983.3"/>
    <m/>
    <m/>
    <x v="3"/>
    <n v="297138.63752995129"/>
    <m/>
    <d v="2026-02-28T00:00:00"/>
    <m/>
  </r>
  <r>
    <n v="8"/>
    <x v="8"/>
    <s v="Lightning Protection - Installation Complete"/>
    <n v="0.5"/>
    <m/>
    <n v="350983.3"/>
    <m/>
    <m/>
    <x v="1"/>
    <n v="297138.63752995129"/>
    <m/>
    <d v="2026-04-30T00:00:00"/>
    <m/>
  </r>
  <r>
    <n v="8"/>
    <x v="8"/>
    <m/>
    <m/>
    <m/>
    <m/>
    <m/>
    <m/>
    <x v="0"/>
    <n v="0"/>
    <m/>
    <m/>
    <m/>
  </r>
  <r>
    <n v="8"/>
    <x v="8"/>
    <s v="Waterpoints"/>
    <n v="20"/>
    <n v="12000"/>
    <n v="240000"/>
    <m/>
    <m/>
    <x v="1"/>
    <n v="203181.38500375467"/>
    <m/>
    <d v="2026-04-30T00:00:00"/>
    <m/>
  </r>
  <r>
    <n v="8"/>
    <x v="8"/>
    <m/>
    <m/>
    <m/>
    <m/>
    <m/>
    <m/>
    <x v="2"/>
    <n v="0"/>
    <m/>
    <m/>
    <m/>
  </r>
  <r>
    <n v="8"/>
    <x v="8"/>
    <m/>
    <m/>
    <m/>
    <m/>
    <m/>
    <m/>
    <x v="0"/>
    <n v="0"/>
    <m/>
    <m/>
    <m/>
  </r>
  <r>
    <n v="8"/>
    <x v="8"/>
    <s v="Cameras &amp; Perimeter Lighing - Deposit"/>
    <n v="0.5"/>
    <n v="250000"/>
    <n v="125000"/>
    <m/>
    <m/>
    <x v="9"/>
    <n v="105823.63802278887"/>
    <m/>
    <d v="2026-03-10T00:00:00"/>
    <m/>
  </r>
  <r>
    <n v="8"/>
    <x v="8"/>
    <s v="Cameras &amp; Perimeter Lighing - Balance"/>
    <n v="0.5"/>
    <m/>
    <n v="125000"/>
    <m/>
    <m/>
    <x v="9"/>
    <n v="105823.63802278887"/>
    <m/>
    <d v="2026-03-31T00:00:00"/>
    <m/>
  </r>
  <r>
    <n v="8"/>
    <x v="8"/>
    <m/>
    <m/>
    <m/>
    <m/>
    <m/>
    <m/>
    <x v="0"/>
    <n v="0"/>
    <m/>
    <m/>
    <m/>
  </r>
  <r>
    <n v="8"/>
    <x v="8"/>
    <s v="Substation Building - Deposit"/>
    <n v="1"/>
    <n v="1200000"/>
    <n v="600000"/>
    <m/>
    <m/>
    <x v="1"/>
    <n v="507953.46250938665"/>
    <m/>
    <d v="2026-04-30T00:00:00"/>
    <m/>
  </r>
  <r>
    <n v="8"/>
    <x v="8"/>
    <s v="Substation Building - Balance"/>
    <m/>
    <m/>
    <n v="600000"/>
    <m/>
    <m/>
    <x v="1"/>
    <n v="507953.46250938665"/>
    <m/>
    <d v="2026-04-30T00:00:00"/>
    <m/>
  </r>
  <r>
    <n v="8"/>
    <x v="8"/>
    <m/>
    <m/>
    <m/>
    <m/>
    <m/>
    <m/>
    <x v="2"/>
    <n v="0"/>
    <m/>
    <m/>
    <m/>
  </r>
  <r>
    <m/>
    <x v="0"/>
    <m/>
    <m/>
    <m/>
    <m/>
    <m/>
    <m/>
    <x v="2"/>
    <m/>
    <m/>
    <m/>
    <m/>
  </r>
  <r>
    <n v="9"/>
    <x v="9"/>
    <s v="AC Installation "/>
    <m/>
    <n v="0.3448859124087591"/>
    <n v="4724937"/>
    <m/>
    <m/>
    <x v="1"/>
    <n v="2806620.0172816957"/>
    <n v="0"/>
    <d v="2026-04-30T00:00:00"/>
    <n v="23468004.330000002"/>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s v="DC Installation - Ground Mount - Planning - Zone 3"/>
    <n v="0.3"/>
    <n v="5392867.324"/>
    <n v="1617860.1972000001"/>
    <m/>
    <m/>
    <x v="5"/>
    <n v="961011.5044126159"/>
    <m/>
    <d v="2026-05-06T00:00:00"/>
    <m/>
  </r>
  <r>
    <n v="9"/>
    <x v="9"/>
    <s v="DC Installation - Ground Mount - Completion of Posts - Zone 3"/>
    <n v="0.2"/>
    <n v="1.3"/>
    <n v="1078573.4648"/>
    <m/>
    <m/>
    <x v="5"/>
    <n v="640674.33627507719"/>
    <m/>
    <d v="2026-05-28T00:00:00"/>
    <m/>
  </r>
  <r>
    <n v="9"/>
    <x v="9"/>
    <s v="DC Installation - Ground Mount - Completion of Mounting Rack - Zone 3"/>
    <n v="0.1"/>
    <m/>
    <n v="539286.73239999998"/>
    <m/>
    <m/>
    <x v="6"/>
    <n v="320337.1681375386"/>
    <m/>
    <d v="2026-06-11T00:00:00"/>
    <m/>
  </r>
  <r>
    <n v="9"/>
    <x v="9"/>
    <s v="DC Installation - Ground Mount - Completion of Module Mounting - Zone 3"/>
    <n v="0.1"/>
    <m/>
    <n v="539286.73239999998"/>
    <m/>
    <m/>
    <x v="6"/>
    <n v="320337.1681375386"/>
    <m/>
    <d v="2026-06-24T00:00:00"/>
    <m/>
  </r>
  <r>
    <n v="9"/>
    <x v="9"/>
    <s v="DC Installation - Ground Mount - Completion of Stringing - Zone 3"/>
    <n v="0.1"/>
    <m/>
    <n v="539286.73239999998"/>
    <m/>
    <m/>
    <x v="4"/>
    <n v="320337.1681375386"/>
    <m/>
    <d v="2026-07-02T00:00:00"/>
    <m/>
  </r>
  <r>
    <n v="9"/>
    <x v="9"/>
    <s v="DC Installation - Ground Mount - String Voltages Approved &amp; Plugged In - Zone 3"/>
    <n v="0.1"/>
    <m/>
    <n v="539286.73239999998"/>
    <m/>
    <m/>
    <x v="7"/>
    <n v="320337.1681375386"/>
    <m/>
    <d v="2026-08-26T00:00:00"/>
    <m/>
  </r>
  <r>
    <n v="9"/>
    <x v="9"/>
    <s v="DC Installation - Ground Mount - QC Completed - Zone 3"/>
    <n v="0.05"/>
    <m/>
    <n v="269643.36619999999"/>
    <m/>
    <m/>
    <x v="8"/>
    <n v="160168.5840687693"/>
    <m/>
    <d v="2026-09-09T00:00:00"/>
    <m/>
  </r>
  <r>
    <n v="9"/>
    <x v="9"/>
    <s v="DC Installation - Ground Mount - Retention - Zone 3"/>
    <n v="0.05"/>
    <m/>
    <n v="269643.36619999999"/>
    <m/>
    <m/>
    <x v="10"/>
    <n v="160168.5840687693"/>
    <m/>
    <d v="2027-11-05T00:00:00"/>
    <m/>
  </r>
  <r>
    <n v="9"/>
    <x v="9"/>
    <m/>
    <m/>
    <m/>
    <m/>
    <m/>
    <m/>
    <x v="2"/>
    <n v="0"/>
    <m/>
    <m/>
    <m/>
  </r>
  <r>
    <n v="9"/>
    <x v="9"/>
    <s v="DC Installation - Ground Mount - Planning - Zone 1"/>
    <n v="0.3"/>
    <n v="2696433.662"/>
    <n v="808930.09860000003"/>
    <m/>
    <m/>
    <x v="5"/>
    <n v="480505.75220630795"/>
    <m/>
    <d v="2026-05-06T00:00:00"/>
    <m/>
  </r>
  <r>
    <n v="9"/>
    <x v="9"/>
    <s v="DC Installation - Ground Mount - Completion of Posts - Zone 1"/>
    <n v="0.2"/>
    <n v="1.3"/>
    <n v="539286.73239999998"/>
    <m/>
    <m/>
    <x v="6"/>
    <n v="320337.1681375386"/>
    <m/>
    <d v="2026-06-29T00:00:00"/>
    <m/>
  </r>
  <r>
    <n v="9"/>
    <x v="9"/>
    <s v="DC Installation - Ground Mount - Completion of Mounting Rack - Zone 1"/>
    <n v="0.1"/>
    <m/>
    <n v="269643.36619999999"/>
    <m/>
    <m/>
    <x v="4"/>
    <n v="160168.5840687693"/>
    <m/>
    <d v="2026-07-15T00:00:00"/>
    <m/>
  </r>
  <r>
    <n v="9"/>
    <x v="9"/>
    <s v="DC Installation - Ground Mount - Completion of Module Mounting - Zone 1"/>
    <n v="0.1"/>
    <m/>
    <n v="269643.36619999999"/>
    <m/>
    <m/>
    <x v="4"/>
    <n v="160168.5840687693"/>
    <m/>
    <d v="2026-07-31T00:00:00"/>
    <m/>
  </r>
  <r>
    <n v="9"/>
    <x v="9"/>
    <s v="DC Installation - Ground Mount - Completion of Stringing - Zone 3"/>
    <n v="0.1"/>
    <m/>
    <n v="269643.36619999999"/>
    <m/>
    <m/>
    <x v="7"/>
    <n v="160168.5840687693"/>
    <m/>
    <d v="2026-08-11T00:00:00"/>
    <m/>
  </r>
  <r>
    <n v="9"/>
    <x v="9"/>
    <s v="DC Installation - Ground Mount - String Voltages Approved &amp; Plugged In - Zone 3"/>
    <n v="0.1"/>
    <m/>
    <n v="269643.36619999999"/>
    <m/>
    <m/>
    <x v="8"/>
    <n v="160168.5840687693"/>
    <m/>
    <d v="2026-09-09T00:00:00"/>
    <m/>
  </r>
  <r>
    <n v="9"/>
    <x v="9"/>
    <s v="DC Installation - Ground Mount - QC Completed - Zone 1"/>
    <n v="0.05"/>
    <m/>
    <n v="134821.68309999999"/>
    <m/>
    <m/>
    <x v="8"/>
    <n v="80084.292034384649"/>
    <m/>
    <d v="2026-09-23T00:00:00"/>
    <m/>
  </r>
  <r>
    <n v="9"/>
    <x v="9"/>
    <s v="DC Installation - Ground Mount - Retention - Zone 1"/>
    <n v="0.05"/>
    <m/>
    <n v="134821.68309999999"/>
    <m/>
    <m/>
    <x v="10"/>
    <n v="80084.292034384649"/>
    <m/>
    <d v="2027-11-05T00:00:00"/>
    <m/>
  </r>
  <r>
    <n v="9"/>
    <x v="9"/>
    <m/>
    <m/>
    <m/>
    <m/>
    <m/>
    <m/>
    <x v="2"/>
    <n v="0"/>
    <m/>
    <m/>
    <m/>
  </r>
  <r>
    <n v="9"/>
    <x v="9"/>
    <s v="DC Installation - Ground Mount - Planning - Zone 2"/>
    <n v="0.3"/>
    <n v="5392867.324"/>
    <n v="1617860.1972000001"/>
    <m/>
    <m/>
    <x v="5"/>
    <n v="961011.5044126159"/>
    <m/>
    <d v="2026-05-06T00:00:00"/>
    <m/>
  </r>
  <r>
    <n v="9"/>
    <x v="9"/>
    <s v="DC Installation - Ground Mount - Completion of Posts - Zone 2"/>
    <n v="0.2"/>
    <n v="1.3"/>
    <n v="1078573.4648"/>
    <m/>
    <m/>
    <x v="7"/>
    <n v="640674.33627507719"/>
    <m/>
    <d v="2026-08-07T00:00:00"/>
    <m/>
  </r>
  <r>
    <n v="9"/>
    <x v="9"/>
    <s v="DC Installation - Ground Mount - Completion of Mounting Rack - Zone 2"/>
    <n v="0.1"/>
    <m/>
    <n v="539286.73239999998"/>
    <m/>
    <m/>
    <x v="7"/>
    <n v="320337.1681375386"/>
    <m/>
    <d v="2026-08-20T00:00:00"/>
    <m/>
  </r>
  <r>
    <n v="9"/>
    <x v="9"/>
    <s v="DC Installation - Ground Mount - Completion of Module Mounting - Zone 2"/>
    <n v="0.1"/>
    <m/>
    <n v="539286.73239999998"/>
    <m/>
    <m/>
    <x v="8"/>
    <n v="320337.1681375386"/>
    <m/>
    <d v="2026-09-11T00:00:00"/>
    <m/>
  </r>
  <r>
    <n v="9"/>
    <x v="9"/>
    <s v="DC Installation - Ground Mount - Completion of Stringing - Zone 3"/>
    <n v="0.1"/>
    <m/>
    <n v="539286.73239999998"/>
    <m/>
    <m/>
    <x v="8"/>
    <n v="320337.1681375386"/>
    <m/>
    <d v="2026-09-17T00:00:00"/>
    <m/>
  </r>
  <r>
    <n v="9"/>
    <x v="9"/>
    <s v="DC Installation - Ground Mount - String Voltages Approved &amp; Plugged In - Zone 3"/>
    <n v="0.1"/>
    <m/>
    <n v="539286.73239999998"/>
    <m/>
    <m/>
    <x v="8"/>
    <n v="320337.1681375386"/>
    <m/>
    <d v="2026-09-23T00:00:00"/>
    <m/>
  </r>
  <r>
    <n v="9"/>
    <x v="9"/>
    <s v="DC Installation - Ground Mount - QC Completed - Zone 2"/>
    <n v="0.05"/>
    <m/>
    <n v="269643.36619999999"/>
    <m/>
    <m/>
    <x v="11"/>
    <n v="160168.5840687693"/>
    <m/>
    <d v="2026-10-07T00:00:00"/>
    <m/>
  </r>
  <r>
    <n v="9"/>
    <x v="9"/>
    <s v="DC Installation - Ground Mount - Retention - Zone 2"/>
    <n v="0.05"/>
    <m/>
    <n v="269643.36619999999"/>
    <m/>
    <m/>
    <x v="10"/>
    <n v="160168.5840687693"/>
    <m/>
    <d v="2027-11-05T00:00:00"/>
    <m/>
  </r>
  <r>
    <n v="9"/>
    <x v="9"/>
    <m/>
    <m/>
    <m/>
    <m/>
    <m/>
    <m/>
    <x v="2"/>
    <n v="0"/>
    <m/>
    <m/>
    <m/>
  </r>
  <r>
    <n v="9"/>
    <x v="9"/>
    <s v="DC Installation - Carport - Planning"/>
    <n v="0.3"/>
    <n v="528147.62"/>
    <n v="158444.28599999999"/>
    <m/>
    <m/>
    <x v="6"/>
    <n v="94116.155350114903"/>
    <m/>
    <d v="2026-06-25T00:00:00"/>
    <m/>
  </r>
  <r>
    <n v="9"/>
    <x v="9"/>
    <s v="DC Installation - Carport - Completion of Foundations"/>
    <n v="0.2"/>
    <m/>
    <n v="105629.524"/>
    <m/>
    <m/>
    <x v="4"/>
    <n v="62744.103566743288"/>
    <m/>
    <d v="2026-07-09T00:00:00"/>
    <m/>
  </r>
  <r>
    <n v="9"/>
    <x v="9"/>
    <s v="DC Installation - Carport - Completion of Mounting Rack"/>
    <n v="0.1"/>
    <m/>
    <n v="52814.762000000002"/>
    <m/>
    <m/>
    <x v="4"/>
    <n v="31372.051783371644"/>
    <m/>
    <d v="2026-07-23T00:00:00"/>
    <m/>
  </r>
  <r>
    <n v="9"/>
    <x v="9"/>
    <s v="DC Installation - Carport - Completion of Module Mounting"/>
    <n v="0.1"/>
    <m/>
    <n v="52814.762000000002"/>
    <m/>
    <m/>
    <x v="7"/>
    <n v="31372.051783371644"/>
    <m/>
    <d v="2026-08-06T00:00:00"/>
    <m/>
  </r>
  <r>
    <n v="9"/>
    <x v="9"/>
    <s v="DC Installation - Carport - Completion of Stringing"/>
    <n v="0.1"/>
    <m/>
    <n v="52814.762000000002"/>
    <m/>
    <m/>
    <x v="7"/>
    <n v="31372.051783371644"/>
    <m/>
    <d v="2026-08-20T00:00:00"/>
    <m/>
  </r>
  <r>
    <n v="9"/>
    <x v="9"/>
    <s v="DC Installation - Carport - String Voltages Approved &amp; Plugged In"/>
    <n v="0.1"/>
    <m/>
    <n v="52814.762000000002"/>
    <m/>
    <m/>
    <x v="8"/>
    <n v="31372.051783371644"/>
    <m/>
    <d v="2026-09-03T00:00:00"/>
    <m/>
  </r>
  <r>
    <n v="9"/>
    <x v="9"/>
    <s v="DC Installation - Carport - QC Completed"/>
    <n v="0.05"/>
    <m/>
    <n v="26407.381000000001"/>
    <m/>
    <m/>
    <x v="8"/>
    <n v="15686.025891685822"/>
    <m/>
    <d v="2026-09-17T00:00:00"/>
    <m/>
  </r>
  <r>
    <n v="9"/>
    <x v="9"/>
    <s v="DC Installation - Carport - Retention"/>
    <n v="0.05"/>
    <m/>
    <n v="26407.381000000001"/>
    <m/>
    <m/>
    <x v="10"/>
    <n v="15686.025891685822"/>
    <m/>
    <d v="2027-11-05T00:00:00"/>
    <m/>
  </r>
  <r>
    <n v="9"/>
    <x v="9"/>
    <m/>
    <m/>
    <m/>
    <m/>
    <m/>
    <m/>
    <x v="2"/>
    <n v="0"/>
    <m/>
    <m/>
    <m/>
  </r>
  <r>
    <n v="9"/>
    <x v="9"/>
    <s v="DC Installation - Rooftop - Planning"/>
    <n v="0.3"/>
    <n v="4732751.4000000004"/>
    <n v="1419825.4200000002"/>
    <m/>
    <m/>
    <x v="1"/>
    <n v="843378.53495557536"/>
    <m/>
    <d v="2026-04-29T00:00:00"/>
    <m/>
  </r>
  <r>
    <n v="9"/>
    <x v="9"/>
    <s v="DC Installation - Rooftop - Completion of Mounting Structure"/>
    <n v="0.2"/>
    <m/>
    <n v="946550.28000000014"/>
    <m/>
    <m/>
    <x v="5"/>
    <n v="562252.35663705016"/>
    <m/>
    <d v="2026-05-28T00:00:00"/>
    <m/>
  </r>
  <r>
    <n v="9"/>
    <x v="9"/>
    <s v="DC Installation - Rooftop - Completion of Module Mounting"/>
    <n v="0.1"/>
    <m/>
    <n v="473275.14000000007"/>
    <m/>
    <m/>
    <x v="4"/>
    <n v="281126.17831852508"/>
    <m/>
    <d v="2026-07-23T00:00:00"/>
    <m/>
  </r>
  <r>
    <n v="9"/>
    <x v="9"/>
    <s v="DC Installation - Rooftop - Completion of Stringing"/>
    <n v="0.1"/>
    <m/>
    <n v="473275.14000000007"/>
    <m/>
    <m/>
    <x v="7"/>
    <n v="281126.17831852508"/>
    <m/>
    <d v="2026-08-04T00:00:00"/>
    <m/>
  </r>
  <r>
    <n v="9"/>
    <x v="9"/>
    <s v="DC Installation - Rooftop - String Voltages Approved &amp; Plugged In"/>
    <n v="0.15"/>
    <m/>
    <n v="709912.71000000008"/>
    <m/>
    <m/>
    <x v="7"/>
    <n v="421689.26747778768"/>
    <m/>
    <d v="2026-08-11T00:00:00"/>
    <m/>
  </r>
  <r>
    <n v="9"/>
    <x v="9"/>
    <s v="DC Installation - Rooftop - QC Completed"/>
    <n v="0.1"/>
    <m/>
    <n v="473275.14000000007"/>
    <m/>
    <m/>
    <x v="7"/>
    <n v="281126.17831852508"/>
    <m/>
    <d v="2026-08-25T00:00:00"/>
    <m/>
  </r>
  <r>
    <n v="9"/>
    <x v="9"/>
    <s v="DC Installation - Rooftop - Retention"/>
    <n v="0.05"/>
    <m/>
    <n v="236637.57000000004"/>
    <m/>
    <m/>
    <x v="10"/>
    <n v="140563.08915926254"/>
    <m/>
    <d v="2027-11-05T00:00:00"/>
    <m/>
  </r>
  <r>
    <n v="9"/>
    <x v="9"/>
    <m/>
    <m/>
    <m/>
    <m/>
    <m/>
    <m/>
    <x v="2"/>
    <n v="0"/>
    <m/>
    <m/>
    <m/>
  </r>
  <r>
    <n v="9"/>
    <x v="9"/>
    <m/>
    <m/>
    <m/>
    <m/>
    <m/>
    <m/>
    <x v="2"/>
    <n v="0"/>
    <m/>
    <m/>
    <m/>
  </r>
  <r>
    <n v="9"/>
    <x v="9"/>
    <m/>
    <m/>
    <m/>
    <m/>
    <m/>
    <m/>
    <x v="2"/>
    <n v="0"/>
    <m/>
    <m/>
    <m/>
  </r>
  <r>
    <m/>
    <x v="0"/>
    <m/>
    <m/>
    <m/>
    <m/>
    <m/>
    <m/>
    <x v="2"/>
    <m/>
    <m/>
    <m/>
    <m/>
  </r>
  <r>
    <n v="10"/>
    <x v="10"/>
    <s v="Security"/>
    <m/>
    <m/>
    <n v="240000"/>
    <m/>
    <m/>
    <x v="9"/>
    <n v="240820.3746788904"/>
    <n v="0"/>
    <d v="2026-03-31T00:00:00"/>
    <n v="1799325"/>
  </r>
  <r>
    <n v="10"/>
    <x v="10"/>
    <m/>
    <m/>
    <m/>
    <m/>
    <m/>
    <m/>
    <x v="2"/>
    <n v="0"/>
    <m/>
    <m/>
    <m/>
  </r>
  <r>
    <n v="10"/>
    <x v="10"/>
    <s v="Site Storage"/>
    <m/>
    <m/>
    <n v="247825"/>
    <m/>
    <m/>
    <x v="9"/>
    <n v="248672.12231165008"/>
    <m/>
    <d v="2026-03-31T00:00:00"/>
    <m/>
  </r>
  <r>
    <n v="10"/>
    <x v="10"/>
    <m/>
    <m/>
    <m/>
    <m/>
    <m/>
    <m/>
    <x v="2"/>
    <n v="0"/>
    <m/>
    <m/>
    <m/>
  </r>
  <r>
    <n v="10"/>
    <x v="10"/>
    <m/>
    <m/>
    <m/>
    <m/>
    <m/>
    <m/>
    <x v="2"/>
    <n v="0"/>
    <m/>
    <m/>
    <m/>
  </r>
  <r>
    <n v="10"/>
    <x v="10"/>
    <s v="Ablutions - April"/>
    <m/>
    <m/>
    <n v="8000"/>
    <m/>
    <m/>
    <x v="1"/>
    <n v="8027.3458226296798"/>
    <m/>
    <d v="2026-04-30T00:00:00"/>
    <m/>
  </r>
  <r>
    <n v="10"/>
    <x v="10"/>
    <s v="Ablutions - May"/>
    <m/>
    <m/>
    <n v="8000"/>
    <m/>
    <m/>
    <x v="12"/>
    <n v="8027.3458226296798"/>
    <m/>
    <d v="2026-05-30T00:00:00"/>
    <m/>
  </r>
  <r>
    <n v="10"/>
    <x v="10"/>
    <s v="Ablutions - June"/>
    <m/>
    <m/>
    <n v="8000"/>
    <m/>
    <m/>
    <x v="13"/>
    <n v="8027.3458226296798"/>
    <m/>
    <d v="2026-06-29T00:00:00"/>
    <m/>
  </r>
  <r>
    <n v="10"/>
    <x v="10"/>
    <s v="Ablutions - July"/>
    <m/>
    <m/>
    <n v="8000"/>
    <m/>
    <m/>
    <x v="14"/>
    <n v="8027.3458226296798"/>
    <m/>
    <d v="2026-07-29T00:00:00"/>
    <m/>
  </r>
  <r>
    <n v="10"/>
    <x v="10"/>
    <s v="Ablutions - August"/>
    <m/>
    <m/>
    <n v="8000"/>
    <m/>
    <m/>
    <x v="15"/>
    <n v="8027.3458226296798"/>
    <m/>
    <d v="2026-08-28T00:00:00"/>
    <m/>
  </r>
  <r>
    <n v="10"/>
    <x v="10"/>
    <m/>
    <m/>
    <m/>
    <m/>
    <m/>
    <m/>
    <x v="0"/>
    <n v="0"/>
    <m/>
    <m/>
    <m/>
  </r>
  <r>
    <n v="10"/>
    <x v="10"/>
    <m/>
    <m/>
    <m/>
    <m/>
    <m/>
    <m/>
    <x v="0"/>
    <n v="0"/>
    <m/>
    <m/>
    <m/>
  </r>
  <r>
    <n v="10"/>
    <x v="10"/>
    <m/>
    <m/>
    <m/>
    <m/>
    <m/>
    <m/>
    <x v="0"/>
    <n v="0"/>
    <m/>
    <m/>
    <m/>
  </r>
  <r>
    <n v="10"/>
    <x v="10"/>
    <s v="Site Office Preperations"/>
    <m/>
    <m/>
    <n v="45000"/>
    <s v="Furniture to be shipped from Coega"/>
    <m/>
    <x v="1"/>
    <n v="45153.820252291953"/>
    <m/>
    <d v="2026-04-30T00:00:00"/>
    <m/>
  </r>
  <r>
    <n v="10"/>
    <x v="10"/>
    <s v="Furniture"/>
    <m/>
    <m/>
    <m/>
    <m/>
    <m/>
    <x v="2"/>
    <n v="0"/>
    <m/>
    <m/>
    <m/>
  </r>
  <r>
    <n v="10"/>
    <x v="10"/>
    <s v="Furniture"/>
    <m/>
    <m/>
    <m/>
    <m/>
    <m/>
    <x v="2"/>
    <n v="0"/>
    <m/>
    <m/>
    <m/>
  </r>
  <r>
    <n v="10"/>
    <x v="10"/>
    <m/>
    <m/>
    <m/>
    <m/>
    <m/>
    <m/>
    <x v="2"/>
    <n v="0"/>
    <m/>
    <m/>
    <m/>
  </r>
  <r>
    <n v="10"/>
    <x v="10"/>
    <s v="Site Office - November"/>
    <m/>
    <m/>
    <n v="2000"/>
    <m/>
    <m/>
    <x v="1"/>
    <n v="2006.8364556574199"/>
    <m/>
    <d v="2026-01-31T00:00:00"/>
    <m/>
  </r>
  <r>
    <n v="10"/>
    <x v="10"/>
    <s v="Site Office - December"/>
    <m/>
    <m/>
    <n v="2000"/>
    <m/>
    <m/>
    <x v="3"/>
    <n v="2006.8364556574199"/>
    <m/>
    <d v="2026-02-28T00:00:00"/>
    <m/>
  </r>
  <r>
    <n v="10"/>
    <x v="10"/>
    <s v="Site Office - Jan"/>
    <m/>
    <m/>
    <n v="2000"/>
    <m/>
    <m/>
    <x v="9"/>
    <n v="2006.8364556574199"/>
    <m/>
    <d v="2026-03-31T00:00:00"/>
    <m/>
  </r>
  <r>
    <n v="10"/>
    <x v="10"/>
    <s v="Site Office - Feb"/>
    <m/>
    <m/>
    <n v="2000"/>
    <m/>
    <m/>
    <x v="1"/>
    <n v="2006.8364556574199"/>
    <m/>
    <d v="2026-04-30T00:00:00"/>
    <m/>
  </r>
  <r>
    <n v="10"/>
    <x v="10"/>
    <s v="Site Office - Mar"/>
    <m/>
    <m/>
    <n v="2000"/>
    <m/>
    <m/>
    <x v="5"/>
    <n v="2006.8364556574199"/>
    <m/>
    <d v="2026-05-31T00:00:00"/>
    <m/>
  </r>
  <r>
    <n v="10"/>
    <x v="10"/>
    <m/>
    <m/>
    <m/>
    <m/>
    <m/>
    <m/>
    <x v="2"/>
    <n v="0"/>
    <m/>
    <m/>
    <m/>
  </r>
  <r>
    <n v="10"/>
    <x v="10"/>
    <s v="Container Hire - April"/>
    <n v="3"/>
    <n v="1100"/>
    <n v="3300"/>
    <m/>
    <m/>
    <x v="1"/>
    <n v="3311.2801518347428"/>
    <m/>
    <d v="2026-04-30T00:00:00"/>
    <m/>
  </r>
  <r>
    <n v="10"/>
    <x v="10"/>
    <s v="Container Hire -May"/>
    <n v="3"/>
    <n v="1100"/>
    <n v="3300"/>
    <m/>
    <m/>
    <x v="5"/>
    <n v="3311.2801518347428"/>
    <m/>
    <d v="2026-05-31T00:00:00"/>
    <m/>
  </r>
  <r>
    <n v="10"/>
    <x v="10"/>
    <s v="Container Hire - June"/>
    <n v="3"/>
    <n v="1100"/>
    <n v="3300"/>
    <m/>
    <m/>
    <x v="6"/>
    <n v="3311.2801518347428"/>
    <m/>
    <d v="2026-06-30T00:00:00"/>
    <m/>
  </r>
  <r>
    <n v="10"/>
    <x v="10"/>
    <s v="Container Hire - July"/>
    <n v="3"/>
    <n v="1100"/>
    <n v="3300"/>
    <m/>
    <m/>
    <x v="4"/>
    <n v="3311.2801518347428"/>
    <m/>
    <d v="2026-07-31T00:00:00"/>
    <m/>
  </r>
  <r>
    <n v="10"/>
    <x v="10"/>
    <s v="Container Hire - August"/>
    <n v="3"/>
    <n v="1100"/>
    <n v="3300"/>
    <m/>
    <m/>
    <x v="7"/>
    <n v="3311.2801518347428"/>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5"/>
    <n v="351196.37974004855"/>
    <m/>
    <d v="2026-05-06T00:00:00"/>
    <m/>
  </r>
  <r>
    <n v="10"/>
    <x v="10"/>
    <s v="Ground Mount Installer - Plant Hire - Balance"/>
    <n v="0.5"/>
    <m/>
    <n v="350000"/>
    <m/>
    <m/>
    <x v="5"/>
    <n v="351196.37974004855"/>
    <m/>
    <d v="2026-05-14T00:00:00"/>
    <m/>
  </r>
  <r>
    <n v="10"/>
    <x v="10"/>
    <m/>
    <m/>
    <m/>
    <m/>
    <m/>
    <m/>
    <x v="2"/>
    <n v="0"/>
    <m/>
    <m/>
    <m/>
  </r>
  <r>
    <n v="10"/>
    <x v="10"/>
    <s v="Carport Installer - Plant Hire - Deposit"/>
    <n v="0.5"/>
    <n v="125000"/>
    <n v="62500"/>
    <m/>
    <m/>
    <x v="6"/>
    <n v="62713.639239294374"/>
    <m/>
    <d v="2026-06-25T00:00:00"/>
    <m/>
  </r>
  <r>
    <n v="10"/>
    <x v="10"/>
    <s v="Carport Installer - Plant Hire - Balance"/>
    <n v="0.5"/>
    <m/>
    <n v="62500"/>
    <m/>
    <m/>
    <x v="6"/>
    <n v="62713.639239294374"/>
    <m/>
    <d v="2026-06-18T00:00:00"/>
    <m/>
  </r>
  <r>
    <n v="10"/>
    <x v="10"/>
    <m/>
    <m/>
    <m/>
    <m/>
    <m/>
    <m/>
    <x v="2"/>
    <n v="0"/>
    <m/>
    <m/>
    <m/>
  </r>
  <r>
    <n v="10"/>
    <x v="10"/>
    <s v="Rooftop Installer - Plant Hire - Deposit"/>
    <n v="0.5"/>
    <n v="375000"/>
    <n v="187500"/>
    <m/>
    <m/>
    <x v="1"/>
    <n v="188140.91771788313"/>
    <m/>
    <d v="2026-04-29T00:00:00"/>
    <m/>
  </r>
  <r>
    <n v="10"/>
    <x v="10"/>
    <s v="Rooftop Installer - Plant Hire - Balance"/>
    <n v="0.5"/>
    <m/>
    <n v="187500"/>
    <m/>
    <m/>
    <x v="5"/>
    <n v="188140.91771788313"/>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500000"/>
    <m/>
    <m/>
    <x v="6"/>
    <n v="1083427.5123399787"/>
    <n v="-1.862645149230957E-9"/>
    <d v="2026-06-30T00:00:00"/>
    <n v="2603452.6000000006"/>
  </r>
  <r>
    <n v="11"/>
    <x v="11"/>
    <s v="Roof Structural Sign Off"/>
    <m/>
    <m/>
    <n v="15630"/>
    <s v="PO3801-MONDI-20240411 - RV Approved"/>
    <s v="L&amp;B Consulting INV-1964"/>
    <x v="3"/>
    <n v="11289.314678582577"/>
    <m/>
    <d v="2025-05-08T00:00:00"/>
    <m/>
  </r>
  <r>
    <n v="11"/>
    <x v="11"/>
    <s v="Grid Study"/>
    <m/>
    <m/>
    <n v="102900"/>
    <s v="PO3816-MONDI-20250422 - RV Approved"/>
    <s v="Defered Expenses - Okusha Engineering Inv EE15"/>
    <x v="3"/>
    <n v="74323.127346522524"/>
    <m/>
    <d v="2026-03-31T00:00:00"/>
    <m/>
  </r>
  <r>
    <n v="11"/>
    <x v="11"/>
    <s v="Lightning Risk Assessment"/>
    <m/>
    <m/>
    <n v="2400"/>
    <m/>
    <s v="RSLP Inv0011533"/>
    <x v="3"/>
    <n v="1733.4840197439657"/>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3"/>
    <n v="221380.35502146897"/>
    <m/>
    <d v="2026-03-30T00:00:00"/>
    <m/>
  </r>
  <r>
    <n v="11"/>
    <x v="11"/>
    <s v="Supply Chain Optimisers - Site Visit"/>
    <m/>
    <m/>
    <n v="11500"/>
    <s v="PO4390-MON-20251021 - RV Approved"/>
    <m/>
    <x v="3"/>
    <n v="8306.277594606503"/>
    <m/>
    <d v="2026-03-30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3"/>
    <n v="4694.8525534732407"/>
    <m/>
    <d v="2026-02-13T00:00:00"/>
    <m/>
  </r>
  <r>
    <n v="11"/>
    <x v="11"/>
    <d v="2026-03-01T00:00:00"/>
    <m/>
    <m/>
    <n v="6500"/>
    <m/>
    <m/>
    <x v="9"/>
    <n v="4694.8525534732407"/>
    <m/>
    <d v="2026-03-31T00:00:00"/>
    <m/>
  </r>
  <r>
    <n v="11"/>
    <x v="11"/>
    <d v="2026-04-01T00:00:00"/>
    <m/>
    <m/>
    <n v="6500"/>
    <m/>
    <m/>
    <x v="1"/>
    <n v="4694.8525534732407"/>
    <m/>
    <d v="2026-04-30T00:00:00"/>
    <m/>
  </r>
  <r>
    <n v="11"/>
    <x v="11"/>
    <d v="2026-05-01T00:00:00"/>
    <m/>
    <m/>
    <n v="6500"/>
    <m/>
    <m/>
    <x v="5"/>
    <n v="4694.8525534732407"/>
    <m/>
    <d v="2026-05-31T00:00:00"/>
    <m/>
  </r>
  <r>
    <n v="11"/>
    <x v="11"/>
    <d v="2026-06-01T00:00:00"/>
    <m/>
    <m/>
    <n v="6500"/>
    <m/>
    <m/>
    <x v="6"/>
    <n v="4694.8525534732407"/>
    <m/>
    <d v="2026-06-30T00:00:00"/>
    <m/>
  </r>
  <r>
    <n v="11"/>
    <x v="11"/>
    <d v="2026-07-01T00:00:00"/>
    <m/>
    <m/>
    <n v="6500"/>
    <m/>
    <m/>
    <x v="4"/>
    <n v="4694.8525534732407"/>
    <m/>
    <d v="2026-07-31T00:00:00"/>
    <m/>
  </r>
  <r>
    <n v="11"/>
    <x v="11"/>
    <d v="2026-08-01T00:00:00"/>
    <m/>
    <m/>
    <n v="6500"/>
    <m/>
    <m/>
    <x v="7"/>
    <n v="4694.8525534732407"/>
    <m/>
    <d v="2026-08-31T00:00:00"/>
    <m/>
  </r>
  <r>
    <n v="11"/>
    <x v="11"/>
    <d v="2026-09-01T00:00:00"/>
    <m/>
    <m/>
    <n v="6500"/>
    <m/>
    <m/>
    <x v="8"/>
    <n v="4694.8525534732407"/>
    <m/>
    <d v="2026-09-30T00:00:00"/>
    <m/>
  </r>
  <r>
    <n v="11"/>
    <x v="11"/>
    <d v="2026-10-01T00:00:00"/>
    <m/>
    <m/>
    <n v="6500"/>
    <m/>
    <m/>
    <x v="11"/>
    <n v="4694.8525534732407"/>
    <m/>
    <d v="2026-10-31T00:00:00"/>
    <m/>
  </r>
  <r>
    <n v="11"/>
    <x v="11"/>
    <s v="Safety Officer - Amkhoib  - Drawdown Schedule"/>
    <m/>
    <m/>
    <m/>
    <m/>
    <m/>
    <x v="0"/>
    <n v="0"/>
    <m/>
    <m/>
    <m/>
  </r>
  <r>
    <n v="11"/>
    <x v="11"/>
    <d v="2026-04-01T00:00:00"/>
    <m/>
    <m/>
    <n v="51000"/>
    <m/>
    <m/>
    <x v="1"/>
    <n v="36836.535419559274"/>
    <m/>
    <d v="2026-04-30T00:00:00"/>
    <m/>
  </r>
  <r>
    <n v="11"/>
    <x v="11"/>
    <d v="2026-05-01T00:00:00"/>
    <m/>
    <m/>
    <n v="51000"/>
    <m/>
    <m/>
    <x v="5"/>
    <n v="36836.535419559274"/>
    <m/>
    <d v="2026-05-31T00:00:00"/>
    <m/>
  </r>
  <r>
    <n v="11"/>
    <x v="11"/>
    <d v="2026-06-01T00:00:00"/>
    <m/>
    <m/>
    <n v="51000"/>
    <m/>
    <m/>
    <x v="6"/>
    <n v="36836.535419559274"/>
    <m/>
    <d v="2026-06-30T00:00:00"/>
    <m/>
  </r>
  <r>
    <n v="11"/>
    <x v="11"/>
    <d v="2026-07-01T00:00:00"/>
    <m/>
    <m/>
    <n v="51000"/>
    <m/>
    <m/>
    <x v="4"/>
    <n v="36836.535419559274"/>
    <m/>
    <d v="2026-07-31T00:00:00"/>
    <m/>
  </r>
  <r>
    <n v="11"/>
    <x v="11"/>
    <d v="2026-08-01T00:00:00"/>
    <m/>
    <m/>
    <n v="51000"/>
    <m/>
    <m/>
    <x v="7"/>
    <n v="36836.535419559274"/>
    <m/>
    <d v="2026-08-31T00:00:00"/>
    <m/>
  </r>
  <r>
    <n v="11"/>
    <x v="11"/>
    <d v="2026-09-01T00:00:00"/>
    <m/>
    <m/>
    <n v="51000"/>
    <m/>
    <m/>
    <x v="8"/>
    <n v="36836.535419559274"/>
    <m/>
    <d v="2026-09-30T00:00:00"/>
    <m/>
  </r>
  <r>
    <n v="11"/>
    <x v="11"/>
    <d v="2026-10-01T00:00:00"/>
    <m/>
    <m/>
    <n v="51000"/>
    <m/>
    <m/>
    <x v="11"/>
    <n v="36836.535419559274"/>
    <m/>
    <d v="2026-10-31T00:00:00"/>
    <m/>
  </r>
  <r>
    <n v="11"/>
    <x v="11"/>
    <s v="Safety Agent - Cairnmead Industrial Consultants - Drawdown Schedule"/>
    <m/>
    <m/>
    <m/>
    <s v="PO4489-MONDI-20251125 - RV Approved"/>
    <m/>
    <x v="2"/>
    <n v="0"/>
    <m/>
    <m/>
    <m/>
  </r>
  <r>
    <n v="11"/>
    <x v="11"/>
    <s v="Documentation"/>
    <m/>
    <m/>
    <n v="12000"/>
    <m/>
    <m/>
    <x v="3"/>
    <n v="8667.4200987198292"/>
    <m/>
    <d v="2026-03-30T00:00:00"/>
    <m/>
  </r>
  <r>
    <n v="11"/>
    <x v="11"/>
    <s v="Baseline Risk Assessment"/>
    <m/>
    <m/>
    <n v="10000"/>
    <m/>
    <m/>
    <x v="3"/>
    <n v="7222.8500822665246"/>
    <m/>
    <d v="2026-03-30T00:00:00"/>
    <m/>
  </r>
  <r>
    <n v="11"/>
    <x v="11"/>
    <d v="2026-04-01T00:00:00"/>
    <m/>
    <m/>
    <n v="9128.7999999999993"/>
    <m/>
    <m/>
    <x v="3"/>
    <n v="6593.595383099464"/>
    <m/>
    <d v="2026-03-30T00:00:00"/>
    <m/>
  </r>
  <r>
    <n v="11"/>
    <x v="11"/>
    <d v="2026-05-01T00:00:00"/>
    <m/>
    <m/>
    <n v="18257.599999999999"/>
    <m/>
    <m/>
    <x v="3"/>
    <n v="13187.190766198928"/>
    <m/>
    <d v="2026-03-30T00:00:00"/>
    <m/>
  </r>
  <r>
    <n v="11"/>
    <x v="11"/>
    <d v="2026-06-01T00:00:00"/>
    <m/>
    <m/>
    <n v="18257.599999999999"/>
    <m/>
    <m/>
    <x v="9"/>
    <n v="13187.190766198928"/>
    <m/>
    <d v="2026-04-30T00:00:00"/>
    <m/>
  </r>
  <r>
    <n v="11"/>
    <x v="11"/>
    <d v="2026-07-01T00:00:00"/>
    <m/>
    <m/>
    <n v="18257.599999999999"/>
    <m/>
    <m/>
    <x v="1"/>
    <n v="13187.190766198928"/>
    <m/>
    <d v="2026-05-30T00:00:00"/>
    <m/>
  </r>
  <r>
    <n v="11"/>
    <x v="11"/>
    <d v="2026-08-01T00:00:00"/>
    <m/>
    <m/>
    <n v="18257.599999999999"/>
    <m/>
    <m/>
    <x v="5"/>
    <n v="13187.190766198928"/>
    <m/>
    <d v="2026-06-30T00:00:00"/>
    <m/>
  </r>
  <r>
    <n v="11"/>
    <x v="11"/>
    <d v="2026-09-01T00:00:00"/>
    <m/>
    <m/>
    <n v="18257.599999999999"/>
    <m/>
    <m/>
    <x v="6"/>
    <n v="13187.190766198928"/>
    <m/>
    <d v="2026-07-30T00:00:00"/>
    <m/>
  </r>
  <r>
    <n v="11"/>
    <x v="11"/>
    <d v="2026-10-01T00:00:00"/>
    <m/>
    <m/>
    <n v="18257.599999999999"/>
    <m/>
    <m/>
    <x v="4"/>
    <n v="13187.190766198928"/>
    <m/>
    <d v="2026-08-30T00:00:00"/>
    <m/>
  </r>
  <r>
    <n v="11"/>
    <x v="11"/>
    <s v="NOSA Training"/>
    <m/>
    <m/>
    <n v="30998.2"/>
    <s v="PO4624-MON-20260213 - RV Approved"/>
    <m/>
    <x v="3"/>
    <n v="22389.535142011417"/>
    <m/>
    <d v="2026-02-28T00:00:00"/>
    <m/>
  </r>
  <r>
    <n v="11"/>
    <x v="11"/>
    <s v="Civil Designs - L&amp;B Consulting Engineers"/>
    <m/>
    <m/>
    <n v="77350"/>
    <s v="PO4622-MON-20260213 - RV Approved"/>
    <m/>
    <x v="3"/>
    <n v="55868.74538633156"/>
    <m/>
    <d v="2026-03-30T00:00:00"/>
    <m/>
  </r>
  <r>
    <n v="11"/>
    <x v="11"/>
    <m/>
    <m/>
    <m/>
    <m/>
    <m/>
    <m/>
    <x v="0"/>
    <n v="0"/>
    <m/>
    <m/>
    <m/>
  </r>
  <r>
    <n v="11"/>
    <x v="11"/>
    <m/>
    <m/>
    <m/>
    <m/>
    <m/>
    <m/>
    <x v="0"/>
    <n v="0"/>
    <m/>
    <m/>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6"/>
    <n v="962214.80623876525"/>
    <n v="0"/>
    <d v="2026-06-30T00:00:00"/>
    <n v="4531726.213989215"/>
  </r>
  <r>
    <n v="13"/>
    <x v="13"/>
    <s v="Management"/>
    <m/>
    <m/>
    <n v="2668000"/>
    <m/>
    <m/>
    <x v="7"/>
    <n v="2779166.6666666674"/>
    <m/>
    <d v="2026-08-31T00:00:00"/>
    <m/>
  </r>
  <r>
    <n v="13"/>
    <x v="13"/>
    <m/>
    <m/>
    <m/>
    <m/>
    <m/>
    <m/>
    <x v="0"/>
    <n v="0"/>
    <m/>
    <m/>
    <m/>
  </r>
  <r>
    <n v="13"/>
    <x v="13"/>
    <s v="EPC - Dec 25"/>
    <m/>
    <m/>
    <n v="45000"/>
    <m/>
    <m/>
    <x v="1"/>
    <n v="46875.000000000007"/>
    <m/>
    <d v="2026-05-07T00:00:00"/>
    <m/>
  </r>
  <r>
    <n v="13"/>
    <x v="13"/>
    <s v="EPC - Jan 26"/>
    <m/>
    <m/>
    <n v="45000"/>
    <m/>
    <m/>
    <x v="5"/>
    <n v="46875.000000000007"/>
    <m/>
    <d v="2026-06-07T00:00:00"/>
    <m/>
  </r>
  <r>
    <n v="13"/>
    <x v="13"/>
    <s v="EPC - Feb 26"/>
    <m/>
    <m/>
    <n v="45000"/>
    <m/>
    <m/>
    <x v="6"/>
    <n v="46875.000000000007"/>
    <m/>
    <d v="2026-07-07T00:00:00"/>
    <m/>
  </r>
  <r>
    <n v="13"/>
    <x v="13"/>
    <s v="EPC - Mar 26"/>
    <m/>
    <m/>
    <n v="115000"/>
    <m/>
    <m/>
    <x v="4"/>
    <n v="119791.66666666669"/>
    <m/>
    <d v="2026-08-07T00:00:00"/>
    <m/>
  </r>
  <r>
    <n v="13"/>
    <x v="13"/>
    <s v="EPC - Apr 26"/>
    <m/>
    <m/>
    <n v="115000"/>
    <m/>
    <m/>
    <x v="7"/>
    <n v="119791.66666666669"/>
    <m/>
    <d v="2026-09-07T00:00:00"/>
    <m/>
  </r>
  <r>
    <n v="13"/>
    <x v="13"/>
    <s v="EPC - May 26"/>
    <m/>
    <m/>
    <n v="115000"/>
    <m/>
    <m/>
    <x v="7"/>
    <n v="119791.66666666669"/>
    <m/>
    <d v="2026-09-07T00:00:00"/>
    <m/>
  </r>
  <r>
    <n v="13"/>
    <x v="13"/>
    <s v="EPC -  Jun 26"/>
    <m/>
    <m/>
    <n v="115000"/>
    <m/>
    <m/>
    <x v="7"/>
    <n v="119791.66666666669"/>
    <m/>
    <d v="2026-09-07T00:00:00"/>
    <m/>
  </r>
  <r>
    <n v="13"/>
    <x v="13"/>
    <s v="EPC - July 26"/>
    <m/>
    <m/>
    <n v="115000"/>
    <m/>
    <m/>
    <x v="7"/>
    <n v="119791.66666666669"/>
    <m/>
    <d v="2026-09-07T00:00:00"/>
    <m/>
  </r>
  <r>
    <n v="13"/>
    <x v="13"/>
    <s v="EPC - Aug 26"/>
    <m/>
    <m/>
    <n v="115000"/>
    <m/>
    <m/>
    <x v="7"/>
    <n v="119791.66666666669"/>
    <m/>
    <d v="2026-09-07T00:00:00"/>
    <m/>
  </r>
  <r>
    <n v="13"/>
    <x v="13"/>
    <s v="EPC - Sep 26"/>
    <m/>
    <m/>
    <n v="115000"/>
    <m/>
    <m/>
    <x v="8"/>
    <n v="119791.66666666669"/>
    <m/>
    <d v="2026-10-07T00:00:00"/>
    <m/>
  </r>
  <r>
    <n v="13"/>
    <x v="13"/>
    <m/>
    <m/>
    <m/>
    <m/>
    <m/>
    <m/>
    <x v="0"/>
    <n v="0"/>
    <m/>
    <m/>
    <m/>
  </r>
  <r>
    <n v="13"/>
    <x v="13"/>
    <m/>
    <m/>
    <m/>
    <m/>
    <m/>
    <m/>
    <x v="2"/>
    <n v="0"/>
    <m/>
    <m/>
    <m/>
  </r>
  <r>
    <m/>
    <x v="0"/>
    <m/>
    <m/>
    <m/>
    <m/>
    <m/>
    <m/>
    <x v="2"/>
    <m/>
    <m/>
    <m/>
    <m/>
  </r>
  <r>
    <n v="14"/>
    <x v="14"/>
    <s v="Training &amp; Travel &amp; Travel- Feb"/>
    <m/>
    <m/>
    <n v="25000"/>
    <m/>
    <m/>
    <x v="3"/>
    <n v="13428.978720693151"/>
    <m/>
    <d v="2026-03-07T00:00:00"/>
    <n v="457800"/>
  </r>
  <r>
    <n v="14"/>
    <x v="14"/>
    <s v="Training &amp; Travel - March"/>
    <m/>
    <m/>
    <n v="25000"/>
    <m/>
    <m/>
    <x v="9"/>
    <n v="13428.978720693151"/>
    <m/>
    <d v="2026-04-07T00:00:00"/>
    <m/>
  </r>
  <r>
    <n v="14"/>
    <x v="14"/>
    <s v="Training &amp; Travel - April"/>
    <m/>
    <m/>
    <n v="25000"/>
    <m/>
    <m/>
    <x v="1"/>
    <n v="13428.978720693151"/>
    <m/>
    <d v="2026-05-07T00:00:00"/>
    <m/>
  </r>
  <r>
    <n v="14"/>
    <x v="14"/>
    <s v="Training &amp; Travel - May"/>
    <m/>
    <m/>
    <n v="25000"/>
    <m/>
    <m/>
    <x v="5"/>
    <n v="13428.978720693151"/>
    <m/>
    <d v="2026-06-07T00:00:00"/>
    <m/>
  </r>
  <r>
    <n v="14"/>
    <x v="14"/>
    <s v="Training &amp; Travel - June"/>
    <m/>
    <m/>
    <n v="25000"/>
    <m/>
    <m/>
    <x v="6"/>
    <n v="13428.978720693151"/>
    <m/>
    <d v="2026-07-07T00:00:00"/>
    <m/>
  </r>
  <r>
    <n v="14"/>
    <x v="14"/>
    <s v="Training &amp; Travel - July"/>
    <m/>
    <m/>
    <n v="25000"/>
    <m/>
    <m/>
    <x v="4"/>
    <n v="13428.978720693151"/>
    <m/>
    <d v="2026-08-07T00:00:00"/>
    <m/>
  </r>
  <r>
    <n v="14"/>
    <x v="14"/>
    <s v="Training &amp; Travel - August"/>
    <m/>
    <m/>
    <n v="25000"/>
    <m/>
    <m/>
    <x v="7"/>
    <n v="13428.978720693151"/>
    <m/>
    <d v="2026-09-07T00:00:00"/>
    <m/>
  </r>
  <r>
    <n v="14"/>
    <x v="14"/>
    <m/>
    <m/>
    <m/>
    <m/>
    <m/>
    <m/>
    <x v="0"/>
    <n v="0"/>
    <m/>
    <m/>
    <m/>
  </r>
  <r>
    <n v="14"/>
    <x v="14"/>
    <s v="Housing - Deposit"/>
    <m/>
    <m/>
    <n v="26000"/>
    <m/>
    <m/>
    <x v="1"/>
    <n v="13966.137869520877"/>
    <m/>
    <d v="2026-05-07T00:00:00"/>
    <m/>
  </r>
  <r>
    <n v="14"/>
    <x v="14"/>
    <s v="Housing - Feb"/>
    <m/>
    <m/>
    <n v="28000"/>
    <m/>
    <m/>
    <x v="3"/>
    <n v="15040.456167176329"/>
    <m/>
    <d v="2026-03-07T00:00:00"/>
    <m/>
  </r>
  <r>
    <n v="14"/>
    <x v="14"/>
    <s v="Housing - March"/>
    <m/>
    <m/>
    <n v="28000"/>
    <m/>
    <m/>
    <x v="9"/>
    <n v="15040.456167176329"/>
    <m/>
    <d v="2026-04-07T00:00:00"/>
    <m/>
  </r>
  <r>
    <n v="14"/>
    <x v="14"/>
    <s v="Housing - April"/>
    <m/>
    <m/>
    <n v="28000"/>
    <m/>
    <m/>
    <x v="1"/>
    <n v="15040.456167176329"/>
    <m/>
    <d v="2026-05-07T00:00:00"/>
    <m/>
  </r>
  <r>
    <n v="14"/>
    <x v="14"/>
    <s v="Housing - May"/>
    <m/>
    <m/>
    <n v="28000"/>
    <m/>
    <m/>
    <x v="5"/>
    <n v="15040.456167176329"/>
    <m/>
    <d v="2026-06-07T00:00:00"/>
    <m/>
  </r>
  <r>
    <n v="14"/>
    <x v="14"/>
    <s v="Housing - June"/>
    <m/>
    <m/>
    <n v="28000"/>
    <m/>
    <m/>
    <x v="6"/>
    <n v="15040.456167176329"/>
    <m/>
    <d v="2026-07-07T00:00:00"/>
    <m/>
  </r>
  <r>
    <n v="14"/>
    <x v="14"/>
    <s v="Housing - July"/>
    <m/>
    <m/>
    <n v="28000"/>
    <m/>
    <m/>
    <x v="4"/>
    <n v="15040.456167176329"/>
    <m/>
    <d v="2026-08-07T00:00:00"/>
    <m/>
  </r>
  <r>
    <n v="14"/>
    <x v="14"/>
    <s v="Housing - August"/>
    <m/>
    <m/>
    <n v="28000"/>
    <m/>
    <m/>
    <x v="7"/>
    <n v="15040.456167176329"/>
    <m/>
    <d v="2026-09-07T00:00:00"/>
    <m/>
  </r>
  <r>
    <n v="14"/>
    <x v="14"/>
    <s v="Housing - Deposit Returned"/>
    <m/>
    <m/>
    <n v="-26000"/>
    <m/>
    <m/>
    <x v="7"/>
    <n v="-13966.137869520877"/>
    <m/>
    <d v="2026-09-07T00:00:00"/>
    <m/>
  </r>
  <r>
    <n v="14"/>
    <x v="14"/>
    <m/>
    <m/>
    <m/>
    <m/>
    <m/>
    <m/>
    <x v="0"/>
    <n v="0"/>
    <m/>
    <m/>
    <m/>
  </r>
  <r>
    <n v="14"/>
    <x v="14"/>
    <s v="Site Travel - Between Housing and Site - Jan"/>
    <m/>
    <m/>
    <n v="3150"/>
    <m/>
    <m/>
    <x v="16"/>
    <n v="1692.0513188073371"/>
    <m/>
    <d v="2026-02-07T00:00:00"/>
    <m/>
  </r>
  <r>
    <n v="14"/>
    <x v="14"/>
    <s v="Site Travel - Between Housing and Site - Feb"/>
    <m/>
    <m/>
    <n v="3150"/>
    <m/>
    <m/>
    <x v="3"/>
    <n v="1692.0513188073371"/>
    <m/>
    <d v="2026-03-07T00:00:00"/>
    <m/>
  </r>
  <r>
    <n v="14"/>
    <x v="14"/>
    <s v="Site Travel - Between Housing and Site - Mar"/>
    <m/>
    <m/>
    <n v="3150"/>
    <m/>
    <m/>
    <x v="9"/>
    <n v="1692.0513188073371"/>
    <m/>
    <d v="2026-04-07T00:00:00"/>
    <m/>
  </r>
  <r>
    <n v="14"/>
    <x v="14"/>
    <s v="Site Travel - Between Housing and Site - Apr"/>
    <m/>
    <m/>
    <n v="3150"/>
    <m/>
    <m/>
    <x v="1"/>
    <n v="1692.0513188073371"/>
    <m/>
    <d v="2026-05-07T00:00:00"/>
    <m/>
  </r>
  <r>
    <n v="14"/>
    <x v="14"/>
    <s v="Site Travel - Between Housing and Site - May"/>
    <m/>
    <m/>
    <n v="3150"/>
    <m/>
    <m/>
    <x v="5"/>
    <n v="1692.0513188073371"/>
    <m/>
    <d v="2026-06-07T00:00:00"/>
    <m/>
  </r>
  <r>
    <n v="14"/>
    <x v="14"/>
    <s v="Site Travel - Between Housing and Site - Jun"/>
    <m/>
    <m/>
    <n v="3150"/>
    <m/>
    <m/>
    <x v="6"/>
    <n v="1692.0513188073371"/>
    <m/>
    <d v="2026-07-07T00:00:00"/>
    <m/>
  </r>
  <r>
    <n v="14"/>
    <x v="14"/>
    <s v="Site Travel - Between Housing and Site - Jul"/>
    <m/>
    <m/>
    <n v="3150"/>
    <m/>
    <m/>
    <x v="4"/>
    <n v="1692.0513188073371"/>
    <m/>
    <d v="2026-08-07T00:00:00"/>
    <m/>
  </r>
  <r>
    <n v="14"/>
    <x v="14"/>
    <s v="Site Travel - Between Housing and Site - Aug"/>
    <m/>
    <m/>
    <n v="3150"/>
    <m/>
    <m/>
    <x v="7"/>
    <n v="1692.0513188073371"/>
    <m/>
    <d v="2026-09-07T00:00:00"/>
    <m/>
  </r>
  <r>
    <n v="14"/>
    <x v="14"/>
    <m/>
    <m/>
    <m/>
    <m/>
    <m/>
    <m/>
    <x v="0"/>
    <n v="0"/>
    <m/>
    <m/>
    <m/>
  </r>
  <r>
    <n v="14"/>
    <x v="14"/>
    <s v="Car Rental - Feb"/>
    <m/>
    <m/>
    <n v="8800"/>
    <m/>
    <m/>
    <x v="3"/>
    <n v="4727.0005096839886"/>
    <m/>
    <d v="2026-03-07T00:00:00"/>
    <m/>
  </r>
  <r>
    <n v="14"/>
    <x v="14"/>
    <s v="Car Rental - Mar"/>
    <m/>
    <m/>
    <n v="8800"/>
    <m/>
    <m/>
    <x v="9"/>
    <n v="4727.0005096839886"/>
    <m/>
    <d v="2026-04-07T00:00:00"/>
    <m/>
  </r>
  <r>
    <n v="14"/>
    <x v="14"/>
    <s v="Car Rental - Apr"/>
    <m/>
    <m/>
    <n v="8800"/>
    <m/>
    <m/>
    <x v="1"/>
    <n v="4727.0005096839886"/>
    <m/>
    <d v="2026-05-07T00:00:00"/>
    <m/>
  </r>
  <r>
    <n v="14"/>
    <x v="14"/>
    <s v="Car Rental - May"/>
    <m/>
    <m/>
    <n v="8800"/>
    <m/>
    <m/>
    <x v="5"/>
    <n v="4727.0005096839886"/>
    <m/>
    <d v="2026-06-07T00:00:00"/>
    <m/>
  </r>
  <r>
    <n v="14"/>
    <x v="14"/>
    <s v="Car Rental - Jun"/>
    <m/>
    <m/>
    <n v="8800"/>
    <m/>
    <m/>
    <x v="6"/>
    <n v="4727.0005096839886"/>
    <m/>
    <d v="2026-07-07T00:00:00"/>
    <m/>
  </r>
  <r>
    <n v="14"/>
    <x v="14"/>
    <s v="Car Rental - Jul"/>
    <m/>
    <m/>
    <n v="8800"/>
    <m/>
    <m/>
    <x v="4"/>
    <n v="4727.0005096839886"/>
    <m/>
    <d v="2026-08-07T00:00:00"/>
    <m/>
  </r>
  <r>
    <n v="14"/>
    <x v="14"/>
    <s v="Car Rental - Aug"/>
    <m/>
    <m/>
    <n v="8800"/>
    <m/>
    <m/>
    <x v="7"/>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7"/>
    <n v="631573.90458693577"/>
    <m/>
    <d v="2026-08-31T00:00:00"/>
    <m/>
  </r>
  <r>
    <n v="15"/>
    <x v="15"/>
    <s v="Test Value (PR Calculation)"/>
    <n v="0.8"/>
    <m/>
    <m/>
    <m/>
    <m/>
    <x v="2"/>
    <n v="0"/>
    <m/>
    <m/>
    <m/>
  </r>
  <r>
    <n v="15"/>
    <x v="15"/>
    <m/>
    <m/>
    <m/>
    <m/>
    <m/>
    <m/>
    <x v="2"/>
    <n v="0"/>
    <m/>
    <m/>
    <m/>
  </r>
  <r>
    <n v="15"/>
    <x v="15"/>
    <s v="Delay Liquidated Damages"/>
    <m/>
    <m/>
    <n v="1724395.3443127689"/>
    <m/>
    <m/>
    <x v="7"/>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7"/>
    <n v="53162.786581391905"/>
    <m/>
    <d v="2026-08-31T00:00:00"/>
    <m/>
  </r>
  <r>
    <n v="15"/>
    <x v="15"/>
    <m/>
    <m/>
    <m/>
    <m/>
    <m/>
    <m/>
    <x v="0"/>
    <m/>
    <m/>
    <m/>
    <m/>
  </r>
  <r>
    <n v="15"/>
    <x v="15"/>
    <s v="Raising Fee"/>
    <m/>
    <m/>
    <n v="92000"/>
    <m/>
    <m/>
    <x v="3"/>
    <n v="48909.763654880553"/>
    <m/>
    <d v="2026-03-31T00:00:00"/>
    <m/>
  </r>
  <r>
    <n v="15"/>
    <x v="15"/>
    <s v="January Interest"/>
    <m/>
    <m/>
    <n v="35049.699999999997"/>
    <m/>
    <m/>
    <x v="3"/>
    <n v="18633.397208418115"/>
    <m/>
    <d v="2026-03-31T00:00:00"/>
    <m/>
  </r>
  <r>
    <n v="15"/>
    <x v="15"/>
    <s v="February Interest"/>
    <m/>
    <m/>
    <n v="204566.79"/>
    <m/>
    <m/>
    <x v="3"/>
    <n v="108753.40598410415"/>
    <m/>
    <d v="2026-03-31T00:00:00"/>
    <m/>
  </r>
  <r>
    <n v="15"/>
    <x v="15"/>
    <s v="March Interest"/>
    <m/>
    <m/>
    <n v="221934"/>
    <m/>
    <m/>
    <x v="9"/>
    <n v="117986.2987715463"/>
    <m/>
    <d v="2026-03-31T00:00:00"/>
    <m/>
  </r>
  <r>
    <n v="15"/>
    <x v="15"/>
    <s v="April Interest"/>
    <m/>
    <m/>
    <n v="178241.37"/>
    <m/>
    <m/>
    <x v="1"/>
    <n v="94758.079132849089"/>
    <m/>
    <d v="2026-04-30T00:00:00"/>
    <m/>
  </r>
  <r>
    <n v="15"/>
    <x v="15"/>
    <s v="May  Interest"/>
    <m/>
    <m/>
    <n v="145837.76000000001"/>
    <m/>
    <m/>
    <x v="5"/>
    <n v="77531.41710388253"/>
    <m/>
    <d v="2026-05-31T00:00:00"/>
    <m/>
  </r>
  <r>
    <n v="15"/>
    <x v="15"/>
    <s v="June Interest"/>
    <m/>
    <m/>
    <n v="103599.12"/>
    <m/>
    <m/>
    <x v="6"/>
    <n v="55076.17906580009"/>
    <m/>
    <d v="2026-06-30T00:00:00"/>
    <m/>
  </r>
  <r>
    <n v="15"/>
    <x v="15"/>
    <s v="July Interest"/>
    <m/>
    <m/>
    <n v="67693.119999999995"/>
    <m/>
    <m/>
    <x v="4"/>
    <n v="35987.548915885513"/>
    <m/>
    <d v="2026-07-31T00:00:00"/>
    <m/>
  </r>
  <r>
    <n v="15"/>
    <x v="15"/>
    <s v="August Interest"/>
    <m/>
    <m/>
    <n v="27845.88"/>
    <m/>
    <m/>
    <x v="7"/>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4">
        <item x="0"/>
        <item m="1" x="30"/>
        <item m="1" x="28"/>
        <item m="1" x="20"/>
        <item m="1" x="23"/>
        <item m="1" x="24"/>
        <item m="1" x="25"/>
        <item m="1" x="26"/>
        <item m="1" x="31"/>
        <item x="2"/>
        <item m="1" x="29"/>
        <item m="1" x="32"/>
        <item x="9"/>
        <item m="1" x="17"/>
        <item x="3"/>
        <item x="1"/>
        <item x="5"/>
        <item x="7"/>
        <item x="6"/>
        <item m="1" x="27"/>
        <item x="4"/>
        <item m="1" x="22"/>
        <item m="1" x="21"/>
        <item m="1" x="18"/>
        <item m="1" x="19"/>
        <item x="8"/>
        <item x="10"/>
        <item x="11"/>
        <item x="12"/>
        <item x="13"/>
        <item x="14"/>
        <item x="15"/>
        <item x="16"/>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9"/>
    </i>
    <i>
      <x v="12"/>
    </i>
    <i>
      <x v="14"/>
    </i>
    <i>
      <x v="15"/>
    </i>
    <i>
      <x v="16"/>
    </i>
    <i>
      <x v="17"/>
    </i>
    <i>
      <x v="18"/>
    </i>
    <i>
      <x v="20"/>
    </i>
    <i>
      <x v="25"/>
    </i>
    <i>
      <x v="26"/>
    </i>
    <i>
      <x v="27"/>
    </i>
    <i>
      <x v="28"/>
    </i>
    <i>
      <x v="29"/>
    </i>
    <i>
      <x v="30"/>
    </i>
    <i>
      <x v="31"/>
    </i>
    <i>
      <x v="32"/>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4">
        <item x="0"/>
        <item m="1" x="32"/>
        <item m="1" x="31"/>
        <item m="1" x="29"/>
        <item m="1" x="30"/>
        <item m="1" x="28"/>
        <item m="1" x="20"/>
        <item m="1" x="23"/>
        <item m="1" x="24"/>
        <item m="1" x="25"/>
        <item m="1" x="26"/>
        <item x="2"/>
        <item x="3"/>
        <item x="9"/>
        <item m="1" x="17"/>
        <item x="1"/>
        <item x="5"/>
        <item x="7"/>
        <item x="6"/>
        <item m="1" x="27"/>
        <item x="4"/>
        <item m="1" x="22"/>
        <item m="1" x="21"/>
        <item m="1" x="18"/>
        <item m="1" x="19"/>
        <item x="8"/>
        <item x="10"/>
        <item x="11"/>
        <item x="12"/>
        <item x="13"/>
        <item x="14"/>
        <item x="15"/>
        <item x="16"/>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11"/>
    </i>
    <i>
      <x v="12"/>
    </i>
    <i>
      <x v="13"/>
    </i>
    <i>
      <x v="15"/>
    </i>
    <i>
      <x v="16"/>
    </i>
    <i>
      <x v="17"/>
    </i>
    <i>
      <x v="18"/>
    </i>
    <i>
      <x v="20"/>
    </i>
    <i>
      <x v="25"/>
    </i>
    <i>
      <x v="26"/>
    </i>
    <i>
      <x v="27"/>
    </i>
    <i>
      <x v="28"/>
    </i>
    <i>
      <x v="29"/>
    </i>
    <i>
      <x v="30"/>
    </i>
    <i>
      <x v="31"/>
    </i>
    <i>
      <x v="32"/>
    </i>
    <i t="grand">
      <x/>
    </i>
  </colItems>
  <dataFields count="1">
    <dataField name="Sum of Actual Total " fld="5" baseField="0" baseItem="0" numFmtId="168"/>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#REF!</fb>
    <v>3</v>
    <v>1</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75" dataDxfId="73" headerRowBorderDxfId="74" tableBorderDxfId="72" totalsRowBorderDxfId="71">
  <autoFilter ref="A3:J103" xr:uid="{3D46D927-9EC5-4A7C-9892-867DB6285431}">
    <filterColumn colId="7">
      <filters blank="1">
        <filter val="Pending"/>
      </filters>
    </filterColumn>
  </autoFilter>
  <tableColumns count="10">
    <tableColumn id="1" xr3:uid="{C1DF5ABE-8D46-4312-83E7-635DC63D7DD6}" name="ID" dataDxfId="70"/>
    <tableColumn id="2" xr3:uid="{76B863B5-E988-4B1A-B13B-83A756AEB53E}" name="Action/Description" dataDxfId="69"/>
    <tableColumn id="11" xr3:uid="{550C22D5-32D1-4742-9A26-C64E136BF34E}" name="RAG Status" dataDxfId="68"/>
    <tableColumn id="3" xr3:uid="{89ACBC07-2DC1-4849-93C5-D2D056E52CB8}" name="Responsible Person - EE" dataDxfId="67"/>
    <tableColumn id="10" xr3:uid="{D693B222-B4B7-4EF7-BC4B-270CD24EE1F6}" name="Responsible Person - Mondi" dataDxfId="66"/>
    <tableColumn id="4" xr3:uid="{C05E0614-6A79-44C8-8368-F2532A14CC63}" name="Date Raised" dataDxfId="65"/>
    <tableColumn id="5" xr3:uid="{A7D870EB-381B-4C87-9030-31A8E3360476}" name="Due Date" dataDxfId="64"/>
    <tableColumn id="6" xr3:uid="{B5A9D3BC-A933-4FF0-8889-9D0F9DA065AD}" name="Status" dataDxfId="63"/>
    <tableColumn id="8" xr3:uid="{E6C1ABAC-1966-4589-8C42-2E84B24C9AD5}" name="Date Completed" dataDxfId="62"/>
    <tableColumn id="9" xr3:uid="{12E329CB-7824-46EC-BCD1-90E8769674A6}" name="Results/Comments " dataDxfId="61"/>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27" headerRowDxfId="60">
  <autoFilter ref="B10:Q327"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59" totalsRowDxfId="58"/>
    <tableColumn id="2" xr3:uid="{82B0629A-885A-40E4-923E-4E31FBDBC4B2}" name="HIGH LEVEL PROGRAMME" dataDxfId="57" totalsRowDxfId="56"/>
    <tableColumn id="3" xr3:uid="{121A3CA4-6649-4EC0-AE99-4780E63AF00F}" name="Column1" dataDxfId="55" totalsRowDxfId="54"/>
    <tableColumn id="4" xr3:uid="{1C438F6C-BD05-46B1-9246-4ABFB925551E}" name="Lead" dataDxfId="53" totalsRowDxfId="52"/>
    <tableColumn id="5" xr3:uid="{247017F1-A091-440A-BC13-25241D4C4DC7}" name="Planned Start" dataDxfId="51" totalsRowDxfId="50"/>
    <tableColumn id="6" xr3:uid="{1E87FDF5-7D5C-493D-BF5B-525030CBBFB7}" name="Duration (days)" dataDxfId="49" totalsRowDxfId="48"/>
    <tableColumn id="7" xr3:uid="{F2CF9CBA-1B82-4F8F-8EFE-6E377D5CF8E5}" name="Planned End" dataDxfId="47" totalsRowDxfId="46"/>
    <tableColumn id="8" xr3:uid="{36EC319C-9567-4F8C-8113-864618308B47}" name="Type" dataDxfId="45" totalsRowDxfId="44"/>
    <tableColumn id="9" xr3:uid="{CC7DB25F-1D56-4AA1-A0A5-80067D8711A5}" name="Lead/Lag" dataDxfId="43" totalsRowDxfId="42"/>
    <tableColumn id="10" xr3:uid="{C2B9DEE6-2681-4B54-8884-8F16790E49C5}" name="Actual Start" dataDxfId="41" totalsRowDxfId="40"/>
    <tableColumn id="11" xr3:uid="{8DA99D53-D049-4344-A3B6-F65AB9E8C52A}" name="Duration (days)2" dataDxfId="39" totalsRowDxfId="38"/>
    <tableColumn id="12" xr3:uid="{EF5F892F-8FC4-4DD4-BA51-C6C3ACFD0B5F}" name="Actual End" dataDxfId="37" totalsRowDxfId="36"/>
    <tableColumn id="13" xr3:uid="{48FEE2F2-B900-4536-945C-175B12B6FA7E}" name="Responsible Person" dataDxfId="35" totalsRowDxfId="34"/>
    <tableColumn id="14" xr3:uid="{81A75105-D04F-4B75-B45D-EDB3D063565D}" name="Column4" dataDxfId="33" totalsRowDxfId="32"/>
    <tableColumn id="15" xr3:uid="{B500AB84-99C6-4E89-AD5B-3CD98B1517D8}" name="Actual Completion" totalsRowFunction="count" dataDxfId="31" totalsRowDxfId="30"/>
    <tableColumn id="16" xr3:uid="{4F188914-5347-44FC-A149-641CD4DDFB5C}" name="Column2" dataDxfId="29"/>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info@emergentenergy.co.za"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microsoft.com/office/2007/relationships/slicer" Target="../slicers/slicer1.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info@emergentenergy.co.za"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info@emergentenergy.co.za"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964" t="s">
        <v>57</v>
      </c>
      <c r="E47" s="964"/>
      <c r="F47" s="965"/>
      <c r="G47" s="67"/>
      <c r="I47" s="68"/>
      <c r="J47" s="68"/>
    </row>
    <row r="48" spans="1:49" ht="14.5" thickBot="1">
      <c r="C48" s="69">
        <v>44014</v>
      </c>
      <c r="D48" s="966"/>
      <c r="E48" s="966"/>
      <c r="F48" s="967"/>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97" priority="1" operator="equal">
      <formula>3</formula>
    </cfRule>
    <cfRule type="cellIs" dxfId="96" priority="2" operator="equal">
      <formula>1</formula>
    </cfRule>
    <cfRule type="cellIs" dxfId="95"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36328125" customWidth="1"/>
    <col min="2" max="2" width="21.08984375" customWidth="1"/>
    <col min="3" max="3" width="28.6328125" customWidth="1"/>
    <col min="4" max="4" width="15.453125" customWidth="1"/>
    <col min="5" max="5" width="16.54296875" customWidth="1"/>
    <col min="6" max="6" width="5.6328125" customWidth="1"/>
  </cols>
  <sheetData>
    <row r="1" spans="2:15" ht="15" thickBot="1"/>
    <row r="2" spans="2:15" ht="18.5">
      <c r="B2" s="969" t="s">
        <v>58</v>
      </c>
      <c r="C2" s="969"/>
      <c r="D2" s="969"/>
      <c r="E2" s="969"/>
      <c r="H2" s="970" t="s">
        <v>59</v>
      </c>
      <c r="I2" s="971"/>
      <c r="J2" s="971"/>
      <c r="K2" s="971"/>
      <c r="L2" s="971"/>
      <c r="M2" s="971"/>
      <c r="N2" s="971"/>
      <c r="O2" s="972"/>
    </row>
    <row r="3" spans="2:15">
      <c r="B3" s="721"/>
      <c r="H3" s="973"/>
      <c r="I3" s="974"/>
      <c r="J3" s="974"/>
      <c r="K3" s="974"/>
      <c r="L3" s="974"/>
      <c r="M3" s="974"/>
      <c r="N3" s="974"/>
      <c r="O3" s="975"/>
    </row>
    <row r="4" spans="2:15">
      <c r="B4" s="722" t="s">
        <v>60</v>
      </c>
      <c r="C4" s="723" t="s">
        <v>61</v>
      </c>
      <c r="H4" s="973"/>
      <c r="I4" s="974"/>
      <c r="J4" s="974"/>
      <c r="K4" s="974"/>
      <c r="L4" s="974"/>
      <c r="M4" s="974"/>
      <c r="N4" s="974"/>
      <c r="O4" s="975"/>
    </row>
    <row r="5" spans="2:15">
      <c r="B5" s="722" t="s">
        <v>62</v>
      </c>
      <c r="C5" s="723" t="s">
        <v>63</v>
      </c>
      <c r="H5" s="973"/>
      <c r="I5" s="974"/>
      <c r="J5" s="974"/>
      <c r="K5" s="974"/>
      <c r="L5" s="974"/>
      <c r="M5" s="974"/>
      <c r="N5" s="974"/>
      <c r="O5" s="975"/>
    </row>
    <row r="6" spans="2:15">
      <c r="B6" s="722" t="s">
        <v>64</v>
      </c>
      <c r="C6" s="723" t="s">
        <v>65</v>
      </c>
      <c r="H6" s="973"/>
      <c r="I6" s="974"/>
      <c r="J6" s="974"/>
      <c r="K6" s="974"/>
      <c r="L6" s="974"/>
      <c r="M6" s="974"/>
      <c r="N6" s="974"/>
      <c r="O6" s="975"/>
    </row>
    <row r="7" spans="2:15">
      <c r="B7" s="722" t="s">
        <v>66</v>
      </c>
      <c r="C7" s="723" t="s">
        <v>67</v>
      </c>
      <c r="H7" s="973"/>
      <c r="I7" s="974"/>
      <c r="J7" s="974"/>
      <c r="K7" s="974"/>
      <c r="L7" s="974"/>
      <c r="M7" s="974"/>
      <c r="N7" s="974"/>
      <c r="O7" s="975"/>
    </row>
    <row r="8" spans="2:15">
      <c r="B8" s="721"/>
      <c r="H8" s="973"/>
      <c r="I8" s="974"/>
      <c r="J8" s="974"/>
      <c r="K8" s="974"/>
      <c r="L8" s="974"/>
      <c r="M8" s="974"/>
      <c r="N8" s="974"/>
      <c r="O8" s="975"/>
    </row>
    <row r="9" spans="2:15">
      <c r="B9" s="979" t="s">
        <v>68</v>
      </c>
      <c r="C9" s="979"/>
      <c r="D9" s="979"/>
      <c r="E9" s="979"/>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73"/>
      <c r="I9" s="974"/>
      <c r="J9" s="974"/>
      <c r="K9" s="974"/>
      <c r="L9" s="974"/>
      <c r="M9" s="974"/>
      <c r="N9" s="974"/>
      <c r="O9" s="975"/>
    </row>
    <row r="10" spans="2:15" ht="15" thickBot="1">
      <c r="B10" s="979" t="s">
        <v>69</v>
      </c>
      <c r="C10" s="979"/>
      <c r="D10" s="979"/>
      <c r="E10" s="979"/>
      <c r="H10" s="976"/>
      <c r="I10" s="977"/>
      <c r="J10" s="977"/>
      <c r="K10" s="977"/>
      <c r="L10" s="977"/>
      <c r="M10" s="977"/>
      <c r="N10" s="977"/>
      <c r="O10" s="978"/>
    </row>
    <row r="11" spans="2:15">
      <c r="B11" s="724" t="s">
        <v>70</v>
      </c>
      <c r="C11" s="968" t="s">
        <v>71</v>
      </c>
      <c r="D11" s="968"/>
      <c r="E11" s="968"/>
    </row>
    <row r="12" spans="2:15">
      <c r="B12" s="724" t="s">
        <v>72</v>
      </c>
      <c r="C12" s="968" t="s">
        <v>71</v>
      </c>
      <c r="D12" s="968"/>
      <c r="E12" s="968"/>
    </row>
    <row r="13" spans="2:15">
      <c r="B13" s="724" t="s">
        <v>73</v>
      </c>
      <c r="C13" s="968" t="s">
        <v>71</v>
      </c>
      <c r="D13" s="968"/>
      <c r="E13" s="968"/>
    </row>
    <row r="14" spans="2:15">
      <c r="B14" s="724" t="s">
        <v>74</v>
      </c>
      <c r="C14" s="968" t="s">
        <v>75</v>
      </c>
      <c r="D14" s="968"/>
      <c r="E14" s="968"/>
    </row>
    <row r="15" spans="2:15">
      <c r="B15" s="724" t="s">
        <v>76</v>
      </c>
      <c r="C15" s="968" t="s">
        <v>77</v>
      </c>
      <c r="D15" s="968"/>
      <c r="E15" s="968"/>
    </row>
    <row r="16" spans="2:15" ht="15" customHeight="1">
      <c r="B16" s="724" t="s">
        <v>78</v>
      </c>
      <c r="C16" s="968" t="s">
        <v>79</v>
      </c>
      <c r="D16" s="968"/>
      <c r="E16" s="968"/>
    </row>
    <row r="17" spans="2:5">
      <c r="B17" s="721"/>
    </row>
    <row r="18" spans="2:5">
      <c r="B18" s="980" t="s">
        <v>80</v>
      </c>
      <c r="C18" s="980"/>
      <c r="D18" s="980"/>
      <c r="E18" s="980"/>
    </row>
    <row r="19" spans="2:5">
      <c r="B19" s="724" t="s">
        <v>81</v>
      </c>
      <c r="C19" s="724" t="s">
        <v>82</v>
      </c>
      <c r="D19" s="724" t="s">
        <v>83</v>
      </c>
      <c r="E19" s="724" t="s">
        <v>84</v>
      </c>
    </row>
    <row r="20" spans="2:5" ht="15" customHeight="1">
      <c r="B20" s="724" t="s">
        <v>85</v>
      </c>
      <c r="C20" s="724" t="s">
        <v>86</v>
      </c>
      <c r="D20" s="725" t="s">
        <v>87</v>
      </c>
      <c r="E20" s="726">
        <v>45953</v>
      </c>
    </row>
    <row r="21" spans="2:5">
      <c r="B21" s="724"/>
      <c r="C21" s="724"/>
      <c r="D21" s="724"/>
      <c r="E21" s="724"/>
    </row>
    <row r="22" spans="2:5">
      <c r="B22" s="724"/>
      <c r="C22" s="724"/>
      <c r="D22" s="724"/>
      <c r="E22" s="724"/>
    </row>
    <row r="23" spans="2:5">
      <c r="B23" s="724"/>
      <c r="C23" s="724"/>
      <c r="D23" s="724"/>
      <c r="E23" s="724"/>
    </row>
    <row r="24" spans="2:5">
      <c r="B24" s="724"/>
      <c r="C24" s="724"/>
      <c r="D24" s="724"/>
      <c r="E24" s="724"/>
    </row>
    <row r="25" spans="2:5">
      <c r="B25" s="724"/>
      <c r="C25" s="724"/>
      <c r="D25" s="724"/>
      <c r="E25" s="724"/>
    </row>
    <row r="26" spans="2:5">
      <c r="B26" s="721"/>
    </row>
  </sheetData>
  <mergeCells count="11">
    <mergeCell ref="C13:E13"/>
    <mergeCell ref="C14:E14"/>
    <mergeCell ref="C15:E15"/>
    <mergeCell ref="C16:E16"/>
    <mergeCell ref="B18:E18"/>
    <mergeCell ref="C12:E12"/>
    <mergeCell ref="B2:E2"/>
    <mergeCell ref="H2:O10"/>
    <mergeCell ref="B9:E9"/>
    <mergeCell ref="B10:E10"/>
    <mergeCell ref="C11:E11"/>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90625" customWidth="1"/>
    <col min="3" max="3" width="21.6328125" style="814" customWidth="1"/>
    <col min="4" max="4" width="12.36328125" style="814" bestFit="1" customWidth="1"/>
    <col min="5" max="5" width="10.453125" style="814" customWidth="1"/>
    <col min="6" max="6" width="72.54296875" customWidth="1"/>
  </cols>
  <sheetData>
    <row r="1" spans="2:10" ht="15" thickBot="1"/>
    <row r="2" spans="2:10" ht="15.5" thickTop="1" thickBot="1">
      <c r="B2" s="981" t="s">
        <v>88</v>
      </c>
      <c r="C2" s="982"/>
      <c r="D2" s="982"/>
      <c r="E2" s="982"/>
      <c r="F2" s="983"/>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20">
        <v>46056</v>
      </c>
      <c r="F5" s="71"/>
    </row>
    <row r="6" spans="2:10">
      <c r="B6" s="74" t="s">
        <v>95</v>
      </c>
      <c r="C6" s="76" t="s">
        <v>96</v>
      </c>
      <c r="D6" s="76"/>
      <c r="E6" s="76"/>
      <c r="F6" s="71" t="s">
        <v>97</v>
      </c>
    </row>
    <row r="7" spans="2:10">
      <c r="B7" s="74" t="s">
        <v>98</v>
      </c>
      <c r="C7" s="76" t="s">
        <v>75</v>
      </c>
      <c r="D7" s="76" t="s">
        <v>94</v>
      </c>
      <c r="E7" s="720">
        <v>46056</v>
      </c>
      <c r="F7" s="71"/>
    </row>
    <row r="8" spans="2:10">
      <c r="B8" s="813" t="s">
        <v>99</v>
      </c>
      <c r="C8" s="76" t="s">
        <v>75</v>
      </c>
      <c r="D8" s="76" t="s">
        <v>94</v>
      </c>
      <c r="E8" s="720">
        <v>46057</v>
      </c>
      <c r="F8" s="71" t="s">
        <v>100</v>
      </c>
    </row>
    <row r="9" spans="2:10">
      <c r="B9" s="75" t="s">
        <v>101</v>
      </c>
      <c r="C9" s="76" t="s">
        <v>75</v>
      </c>
      <c r="D9" s="815" t="s">
        <v>94</v>
      </c>
      <c r="E9" s="816">
        <v>46057</v>
      </c>
      <c r="F9" s="71" t="s">
        <v>100</v>
      </c>
    </row>
    <row r="10" spans="2:10">
      <c r="B10" s="75" t="s">
        <v>102</v>
      </c>
      <c r="C10" s="76" t="s">
        <v>75</v>
      </c>
      <c r="D10" s="815" t="s">
        <v>94</v>
      </c>
      <c r="E10" s="816">
        <v>46057</v>
      </c>
      <c r="F10" s="71" t="s">
        <v>100</v>
      </c>
    </row>
    <row r="11" spans="2:10">
      <c r="B11" s="75" t="s">
        <v>103</v>
      </c>
      <c r="C11" s="815" t="s">
        <v>104</v>
      </c>
      <c r="D11" s="815" t="s">
        <v>94</v>
      </c>
      <c r="E11" s="817"/>
      <c r="F11" s="71" t="s">
        <v>105</v>
      </c>
    </row>
    <row r="12" spans="2:10">
      <c r="B12" s="75" t="s">
        <v>106</v>
      </c>
      <c r="C12" s="815" t="s">
        <v>75</v>
      </c>
      <c r="D12" s="815" t="s">
        <v>94</v>
      </c>
      <c r="E12" s="816">
        <v>46057</v>
      </c>
      <c r="F12" s="71" t="s">
        <v>100</v>
      </c>
    </row>
    <row r="13" spans="2:10">
      <c r="B13" s="75" t="s">
        <v>107</v>
      </c>
      <c r="C13" s="815" t="s">
        <v>75</v>
      </c>
      <c r="D13" s="815" t="s">
        <v>94</v>
      </c>
      <c r="E13" s="816">
        <v>46057</v>
      </c>
      <c r="F13" s="71" t="s">
        <v>100</v>
      </c>
    </row>
    <row r="14" spans="2:10">
      <c r="B14" s="75"/>
      <c r="C14" s="815"/>
      <c r="D14" s="815"/>
      <c r="E14" s="815"/>
      <c r="F14" s="71"/>
    </row>
    <row r="15" spans="2:10">
      <c r="B15" s="75"/>
      <c r="C15" s="815"/>
      <c r="D15" s="815"/>
      <c r="E15" s="815"/>
      <c r="F15" s="71"/>
    </row>
    <row r="16" spans="2:10">
      <c r="B16" s="75"/>
      <c r="C16" s="815"/>
      <c r="D16" s="815"/>
      <c r="E16" s="815"/>
      <c r="F16" s="71"/>
    </row>
    <row r="17" spans="2:6">
      <c r="B17" s="75"/>
      <c r="C17" s="815"/>
      <c r="D17" s="815"/>
      <c r="E17" s="815"/>
      <c r="F17" s="71"/>
    </row>
    <row r="18" spans="2:6">
      <c r="B18" s="75"/>
      <c r="C18" s="815"/>
      <c r="D18" s="815"/>
      <c r="E18" s="815"/>
      <c r="F18" s="71"/>
    </row>
    <row r="19" spans="2:6">
      <c r="B19" s="75"/>
      <c r="C19" s="815"/>
      <c r="D19" s="815"/>
      <c r="E19" s="815"/>
      <c r="F19" s="71"/>
    </row>
    <row r="20" spans="2:6">
      <c r="B20" s="75"/>
      <c r="C20" s="815"/>
      <c r="D20" s="815"/>
      <c r="E20" s="815"/>
      <c r="F20" s="71"/>
    </row>
    <row r="21" spans="2:6">
      <c r="B21" s="75"/>
      <c r="C21" s="815"/>
      <c r="D21" s="815"/>
      <c r="E21" s="815"/>
      <c r="F21" s="71"/>
    </row>
    <row r="22" spans="2:6">
      <c r="B22" s="75"/>
      <c r="C22" s="815"/>
      <c r="D22" s="815"/>
      <c r="E22" s="815"/>
      <c r="F22" s="71"/>
    </row>
    <row r="23" spans="2:6">
      <c r="B23" s="75"/>
      <c r="C23" s="815"/>
      <c r="D23" s="815"/>
      <c r="E23" s="815"/>
      <c r="F23" s="71"/>
    </row>
    <row r="24" spans="2:6">
      <c r="B24" s="75"/>
      <c r="C24" s="815"/>
      <c r="D24" s="815"/>
      <c r="E24" s="815"/>
      <c r="F24" s="71"/>
    </row>
    <row r="25" spans="2:6">
      <c r="B25" s="75"/>
      <c r="C25" s="815"/>
      <c r="D25" s="815"/>
      <c r="E25" s="815"/>
      <c r="F25" s="71"/>
    </row>
    <row r="26" spans="2:6">
      <c r="B26" s="75"/>
      <c r="C26" s="815"/>
      <c r="D26" s="815"/>
      <c r="E26" s="815"/>
      <c r="F26" s="71"/>
    </row>
    <row r="27" spans="2:6">
      <c r="B27" s="75"/>
      <c r="C27" s="815"/>
      <c r="D27" s="815"/>
      <c r="E27" s="815"/>
      <c r="F27" s="71"/>
    </row>
    <row r="28" spans="2:6">
      <c r="B28" s="75"/>
      <c r="C28" s="815"/>
      <c r="D28" s="815"/>
      <c r="E28" s="815"/>
      <c r="F28" s="71"/>
    </row>
    <row r="29" spans="2:6">
      <c r="B29" s="75"/>
      <c r="C29" s="815"/>
      <c r="D29" s="815"/>
      <c r="E29" s="815"/>
      <c r="F29" s="71"/>
    </row>
    <row r="30" spans="2:6">
      <c r="B30" s="75"/>
      <c r="C30" s="815"/>
      <c r="D30" s="815"/>
      <c r="E30" s="815"/>
      <c r="F30" s="71"/>
    </row>
    <row r="31" spans="2:6">
      <c r="B31" s="75"/>
      <c r="C31" s="815"/>
      <c r="D31" s="815"/>
      <c r="E31" s="815"/>
      <c r="F31" s="71"/>
    </row>
    <row r="32" spans="2:6">
      <c r="B32" s="75"/>
      <c r="C32" s="815"/>
      <c r="D32" s="815"/>
      <c r="E32" s="815"/>
      <c r="F32" s="71"/>
    </row>
    <row r="33" spans="2:6">
      <c r="B33" s="75"/>
      <c r="C33" s="815"/>
      <c r="D33" s="815"/>
      <c r="E33" s="815"/>
      <c r="F33" s="71"/>
    </row>
    <row r="34" spans="2:6">
      <c r="B34" s="75"/>
      <c r="C34" s="815"/>
      <c r="D34" s="815"/>
      <c r="E34" s="815"/>
      <c r="F34" s="71"/>
    </row>
    <row r="35" spans="2:6">
      <c r="B35" s="75"/>
      <c r="C35" s="815"/>
      <c r="D35" s="815"/>
      <c r="E35" s="815"/>
      <c r="F35" s="71"/>
    </row>
    <row r="36" spans="2:6">
      <c r="B36" s="75"/>
      <c r="C36" s="815"/>
      <c r="D36" s="815"/>
      <c r="E36" s="815"/>
      <c r="F36" s="71"/>
    </row>
    <row r="37" spans="2:6">
      <c r="B37" s="75"/>
      <c r="C37" s="815"/>
      <c r="D37" s="815"/>
      <c r="E37" s="815"/>
      <c r="F37" s="71"/>
    </row>
    <row r="38" spans="2:6">
      <c r="B38" s="75"/>
      <c r="C38" s="815"/>
      <c r="D38" s="815"/>
      <c r="E38" s="815"/>
      <c r="F38" s="71"/>
    </row>
    <row r="39" spans="2:6">
      <c r="B39" s="75"/>
      <c r="C39" s="815"/>
      <c r="D39" s="815"/>
      <c r="E39" s="815"/>
      <c r="F39" s="71"/>
    </row>
    <row r="40" spans="2:6">
      <c r="B40" s="75"/>
      <c r="C40" s="815"/>
      <c r="D40" s="815"/>
      <c r="E40" s="815"/>
      <c r="F40" s="71"/>
    </row>
    <row r="41" spans="2:6">
      <c r="B41" s="75"/>
      <c r="C41" s="815"/>
      <c r="D41" s="815"/>
      <c r="E41" s="815"/>
      <c r="F41" s="71"/>
    </row>
    <row r="42" spans="2:6">
      <c r="B42" s="75"/>
      <c r="C42" s="815"/>
      <c r="D42" s="815"/>
      <c r="E42" s="815"/>
      <c r="F42" s="71"/>
    </row>
    <row r="43" spans="2:6">
      <c r="B43" s="75"/>
      <c r="C43" s="815"/>
      <c r="D43" s="815"/>
      <c r="E43" s="815"/>
      <c r="F43" s="71"/>
    </row>
    <row r="44" spans="2:6">
      <c r="B44" s="75"/>
      <c r="C44" s="815"/>
      <c r="D44" s="815"/>
      <c r="E44" s="815"/>
      <c r="F44" s="71"/>
    </row>
    <row r="45" spans="2:6">
      <c r="B45" s="75"/>
      <c r="C45" s="815"/>
      <c r="D45" s="815"/>
      <c r="E45" s="815"/>
      <c r="F45" s="71"/>
    </row>
    <row r="46" spans="2:6">
      <c r="B46" s="75"/>
      <c r="C46" s="815"/>
      <c r="D46" s="815"/>
      <c r="E46" s="815"/>
      <c r="F46" s="71"/>
    </row>
    <row r="47" spans="2:6">
      <c r="B47" s="75"/>
      <c r="C47" s="815"/>
      <c r="D47" s="815"/>
      <c r="E47" s="815"/>
      <c r="F47" s="71"/>
    </row>
    <row r="48" spans="2:6" ht="15" thickBot="1"/>
    <row r="49" spans="2:6" ht="15.5" thickTop="1" thickBot="1">
      <c r="B49" s="981" t="s">
        <v>108</v>
      </c>
      <c r="C49" s="982"/>
      <c r="D49" s="982"/>
      <c r="E49" s="982"/>
      <c r="F49" s="983"/>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15"/>
      <c r="D56" s="815"/>
      <c r="E56" s="815"/>
      <c r="F56" s="71"/>
    </row>
    <row r="57" spans="2:6">
      <c r="B57" s="75"/>
      <c r="C57" s="815"/>
      <c r="D57" s="815"/>
      <c r="E57" s="815"/>
      <c r="F57" s="71"/>
    </row>
    <row r="58" spans="2:6">
      <c r="B58" s="75"/>
      <c r="C58" s="815"/>
      <c r="D58" s="815"/>
      <c r="E58" s="815"/>
      <c r="F58" s="71"/>
    </row>
    <row r="59" spans="2:6">
      <c r="B59" s="75"/>
      <c r="C59" s="815"/>
      <c r="D59" s="815"/>
      <c r="E59" s="815"/>
      <c r="F59" s="71"/>
    </row>
    <row r="60" spans="2:6">
      <c r="B60" s="75"/>
      <c r="C60" s="815"/>
      <c r="D60" s="815"/>
      <c r="E60" s="815"/>
      <c r="F60" s="71"/>
    </row>
    <row r="61" spans="2:6">
      <c r="B61" s="75"/>
      <c r="C61" s="815"/>
      <c r="D61" s="815"/>
      <c r="E61" s="815"/>
      <c r="F61" s="71"/>
    </row>
  </sheetData>
  <mergeCells count="2">
    <mergeCell ref="B2:F2"/>
    <mergeCell ref="B49:F49"/>
  </mergeCells>
  <conditionalFormatting sqref="C5:C47">
    <cfRule type="containsText" dxfId="94" priority="6" operator="containsText" text="Pending">
      <formula>NOT(ISERROR(SEARCH("Pending",C5)))</formula>
    </cfRule>
    <cfRule type="containsText" dxfId="93" priority="7" operator="containsText" text="Declined">
      <formula>NOT(ISERROR(SEARCH("Declined",C5)))</formula>
    </cfRule>
    <cfRule type="containsText" dxfId="92" priority="8" operator="containsText" text="Abanded">
      <formula>NOT(ISERROR(SEARCH("Abanded",C5)))</formula>
    </cfRule>
    <cfRule type="containsText" dxfId="91" priority="9" operator="containsText" text="Declined">
      <formula>NOT(ISERROR(SEARCH("Declined",C5)))</formula>
    </cfRule>
    <cfRule type="containsText" dxfId="90" priority="10" operator="containsText" text="Approved">
      <formula>NOT(ISERROR(SEARCH("Approved",C5)))</formula>
    </cfRule>
  </conditionalFormatting>
  <conditionalFormatting sqref="C52:C61">
    <cfRule type="containsText" dxfId="89" priority="1" operator="containsText" text="Pending">
      <formula>NOT(ISERROR(SEARCH("Pending",C52)))</formula>
    </cfRule>
    <cfRule type="containsText" dxfId="88" priority="2" operator="containsText" text="Declined">
      <formula>NOT(ISERROR(SEARCH("Declined",C52)))</formula>
    </cfRule>
    <cfRule type="containsText" dxfId="87" priority="3" operator="containsText" text="Abanded">
      <formula>NOT(ISERROR(SEARCH("Abanded",C52)))</formula>
    </cfRule>
    <cfRule type="containsText" dxfId="86" priority="4" operator="containsText" text="Declined">
      <formula>NOT(ISERROR(SEARCH("Declined",C52)))</formula>
    </cfRule>
    <cfRule type="containsText" dxfId="85"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34" bestFit="1" customWidth="1"/>
    <col min="2" max="2" width="57.90625" style="734" customWidth="1"/>
    <col min="3" max="3" width="14.54296875" style="732" bestFit="1" customWidth="1"/>
    <col min="4" max="4" width="16.08984375" style="732" customWidth="1"/>
    <col min="5" max="5" width="16.6328125" style="732" customWidth="1"/>
    <col min="6" max="6" width="15.36328125" style="732" bestFit="1" customWidth="1"/>
    <col min="7" max="7" width="13.36328125" style="732" customWidth="1"/>
    <col min="8" max="8" width="13" style="732" customWidth="1"/>
    <col min="9" max="9" width="12.54296875" style="732" customWidth="1"/>
    <col min="10" max="10" width="59.54296875" style="738" customWidth="1"/>
  </cols>
  <sheetData>
    <row r="1" spans="1:14" ht="21">
      <c r="A1" s="984"/>
      <c r="B1" s="985"/>
      <c r="C1" s="985"/>
      <c r="D1" s="985"/>
      <c r="E1" s="736"/>
      <c r="F1" s="986" t="s">
        <v>112</v>
      </c>
      <c r="G1" s="986"/>
      <c r="H1" s="986"/>
      <c r="I1" s="986"/>
      <c r="J1" s="987"/>
      <c r="K1" s="77"/>
      <c r="L1" s="77"/>
      <c r="M1" s="77"/>
      <c r="N1" s="77"/>
    </row>
    <row r="2" spans="1:14" ht="6.75" customHeight="1"/>
    <row r="3" spans="1:14" ht="29.25" customHeight="1">
      <c r="A3" s="728" t="s">
        <v>113</v>
      </c>
      <c r="B3" s="729" t="s">
        <v>114</v>
      </c>
      <c r="C3" s="729" t="s">
        <v>115</v>
      </c>
      <c r="D3" s="730" t="s">
        <v>116</v>
      </c>
      <c r="E3" s="730" t="s">
        <v>117</v>
      </c>
      <c r="F3" s="730" t="s">
        <v>118</v>
      </c>
      <c r="G3" s="730" t="s">
        <v>119</v>
      </c>
      <c r="H3" s="730" t="s">
        <v>90</v>
      </c>
      <c r="I3" s="730" t="s">
        <v>120</v>
      </c>
      <c r="J3" s="731" t="s">
        <v>121</v>
      </c>
    </row>
    <row r="4" spans="1:14">
      <c r="A4" s="727" t="s">
        <v>122</v>
      </c>
      <c r="B4" s="74" t="s">
        <v>123</v>
      </c>
      <c r="C4" s="76" t="s">
        <v>124</v>
      </c>
      <c r="D4" s="76" t="s">
        <v>94</v>
      </c>
      <c r="E4" s="76" t="s">
        <v>125</v>
      </c>
      <c r="F4" s="720">
        <v>45956</v>
      </c>
      <c r="G4" s="720">
        <v>45975</v>
      </c>
      <c r="H4" s="76" t="s">
        <v>126</v>
      </c>
      <c r="I4" s="720"/>
      <c r="J4" s="737"/>
    </row>
    <row r="5" spans="1:14">
      <c r="A5" s="727" t="s">
        <v>127</v>
      </c>
      <c r="B5" s="74" t="s">
        <v>128</v>
      </c>
      <c r="C5" s="76" t="s">
        <v>124</v>
      </c>
      <c r="D5" s="76" t="s">
        <v>94</v>
      </c>
      <c r="E5" s="76" t="s">
        <v>125</v>
      </c>
      <c r="F5" s="720">
        <v>45912</v>
      </c>
      <c r="G5" s="720">
        <f>G4</f>
        <v>45975</v>
      </c>
      <c r="H5" s="76" t="s">
        <v>126</v>
      </c>
      <c r="I5" s="720"/>
      <c r="J5" s="737"/>
    </row>
    <row r="6" spans="1:14" ht="22.5" customHeight="1">
      <c r="A6" s="727" t="s">
        <v>129</v>
      </c>
      <c r="B6" s="74" t="s">
        <v>130</v>
      </c>
      <c r="C6" s="76" t="s">
        <v>131</v>
      </c>
      <c r="D6" s="76" t="s">
        <v>86</v>
      </c>
      <c r="E6" s="76" t="s">
        <v>132</v>
      </c>
      <c r="F6" s="720">
        <v>45954</v>
      </c>
      <c r="G6" s="720">
        <v>45968</v>
      </c>
      <c r="H6" s="76" t="s">
        <v>126</v>
      </c>
      <c r="I6" s="76"/>
      <c r="J6" s="737" t="s">
        <v>133</v>
      </c>
    </row>
    <row r="7" spans="1:14" ht="29">
      <c r="A7" s="727" t="s">
        <v>134</v>
      </c>
      <c r="B7" s="74" t="s">
        <v>135</v>
      </c>
      <c r="C7" s="76" t="s">
        <v>136</v>
      </c>
      <c r="D7" s="76" t="s">
        <v>137</v>
      </c>
      <c r="E7" s="76" t="s">
        <v>125</v>
      </c>
      <c r="F7" s="720">
        <v>45911</v>
      </c>
      <c r="G7" s="720">
        <v>45966</v>
      </c>
      <c r="H7" s="76" t="s">
        <v>126</v>
      </c>
      <c r="I7" s="76"/>
      <c r="J7" s="737" t="s">
        <v>138</v>
      </c>
    </row>
    <row r="8" spans="1:14" hidden="1">
      <c r="A8" s="727" t="s">
        <v>139</v>
      </c>
      <c r="B8" s="74" t="s">
        <v>140</v>
      </c>
      <c r="C8" s="76" t="s">
        <v>136</v>
      </c>
      <c r="D8" s="76" t="s">
        <v>94</v>
      </c>
      <c r="E8" s="76" t="s">
        <v>125</v>
      </c>
      <c r="F8" s="720">
        <v>45910</v>
      </c>
      <c r="G8" s="720">
        <v>45954</v>
      </c>
      <c r="H8" s="76" t="s">
        <v>141</v>
      </c>
      <c r="I8" s="720">
        <f>Table2[[#This Row],[Due Date]]</f>
        <v>45954</v>
      </c>
      <c r="J8" s="737"/>
    </row>
    <row r="9" spans="1:14">
      <c r="A9" s="727" t="s">
        <v>142</v>
      </c>
      <c r="B9" s="74" t="s">
        <v>143</v>
      </c>
      <c r="C9" s="76" t="s">
        <v>136</v>
      </c>
      <c r="D9" s="76" t="s">
        <v>144</v>
      </c>
      <c r="E9" s="76" t="s">
        <v>125</v>
      </c>
      <c r="F9" s="720">
        <f>G8</f>
        <v>45954</v>
      </c>
      <c r="G9" s="720">
        <f>Table2[[#This Row],[Date Raised]]+7</f>
        <v>45961</v>
      </c>
      <c r="H9" s="76" t="s">
        <v>126</v>
      </c>
      <c r="I9" s="76"/>
      <c r="J9" s="737" t="s">
        <v>145</v>
      </c>
    </row>
    <row r="10" spans="1:14" ht="29">
      <c r="A10" s="727" t="s">
        <v>146</v>
      </c>
      <c r="B10" s="74" t="s">
        <v>147</v>
      </c>
      <c r="C10" s="76" t="s">
        <v>136</v>
      </c>
      <c r="D10" s="76" t="s">
        <v>137</v>
      </c>
      <c r="E10" s="76" t="s">
        <v>148</v>
      </c>
      <c r="F10" s="720">
        <f>G9</f>
        <v>45961</v>
      </c>
      <c r="G10" s="720">
        <f>Table2[[#This Row],[Date Raised]]+7</f>
        <v>45968</v>
      </c>
      <c r="H10" s="76" t="s">
        <v>126</v>
      </c>
      <c r="I10" s="76"/>
      <c r="J10" s="737" t="s">
        <v>149</v>
      </c>
    </row>
    <row r="11" spans="1:14">
      <c r="A11" s="727" t="s">
        <v>150</v>
      </c>
      <c r="B11" s="74" t="s">
        <v>151</v>
      </c>
      <c r="C11" s="76" t="s">
        <v>131</v>
      </c>
      <c r="D11" s="76" t="s">
        <v>94</v>
      </c>
      <c r="E11" s="76" t="s">
        <v>152</v>
      </c>
      <c r="F11" s="720">
        <v>45951</v>
      </c>
      <c r="G11" s="720">
        <v>45968</v>
      </c>
      <c r="H11" s="76" t="s">
        <v>126</v>
      </c>
      <c r="I11" s="76"/>
      <c r="J11" s="737" t="s">
        <v>153</v>
      </c>
    </row>
    <row r="12" spans="1:14" ht="29">
      <c r="A12" s="727" t="s">
        <v>154</v>
      </c>
      <c r="B12" s="74" t="s">
        <v>155</v>
      </c>
      <c r="C12" s="76" t="s">
        <v>124</v>
      </c>
      <c r="D12" s="76" t="s">
        <v>144</v>
      </c>
      <c r="E12" s="76" t="s">
        <v>125</v>
      </c>
      <c r="F12" s="720">
        <v>45957</v>
      </c>
      <c r="G12" s="720">
        <v>45972</v>
      </c>
      <c r="H12" s="76" t="s">
        <v>126</v>
      </c>
      <c r="I12" s="76"/>
      <c r="J12" s="737" t="s">
        <v>156</v>
      </c>
    </row>
    <row r="13" spans="1:14">
      <c r="A13" s="727" t="s">
        <v>157</v>
      </c>
      <c r="B13" s="74" t="s">
        <v>158</v>
      </c>
      <c r="C13" s="76" t="s">
        <v>136</v>
      </c>
      <c r="D13" s="76" t="s">
        <v>144</v>
      </c>
      <c r="E13" s="76" t="s">
        <v>125</v>
      </c>
      <c r="F13" s="720">
        <v>45911</v>
      </c>
      <c r="G13" s="720">
        <v>45975</v>
      </c>
      <c r="H13" s="76" t="s">
        <v>126</v>
      </c>
      <c r="I13" s="755"/>
      <c r="J13" s="737" t="s">
        <v>159</v>
      </c>
    </row>
    <row r="14" spans="1:14" hidden="1">
      <c r="A14" s="727" t="s">
        <v>160</v>
      </c>
      <c r="B14" s="74" t="s">
        <v>161</v>
      </c>
      <c r="C14" s="76" t="s">
        <v>136</v>
      </c>
      <c r="D14" s="76" t="s">
        <v>162</v>
      </c>
      <c r="E14" s="76" t="s">
        <v>125</v>
      </c>
      <c r="F14" s="720">
        <v>45912</v>
      </c>
      <c r="G14" s="720">
        <v>45954</v>
      </c>
      <c r="H14" s="76" t="s">
        <v>141</v>
      </c>
      <c r="I14" s="720">
        <v>45954</v>
      </c>
      <c r="J14" s="737"/>
    </row>
    <row r="15" spans="1:14" ht="29">
      <c r="A15" s="727" t="s">
        <v>163</v>
      </c>
      <c r="B15" s="74" t="s">
        <v>164</v>
      </c>
      <c r="C15" s="76" t="s">
        <v>124</v>
      </c>
      <c r="D15" s="76" t="s">
        <v>165</v>
      </c>
      <c r="E15" s="76" t="s">
        <v>125</v>
      </c>
      <c r="F15" s="720">
        <v>45937</v>
      </c>
      <c r="G15" s="720">
        <v>45975</v>
      </c>
      <c r="H15" s="76" t="s">
        <v>126</v>
      </c>
      <c r="I15" s="76"/>
      <c r="J15" s="737" t="s">
        <v>166</v>
      </c>
    </row>
    <row r="16" spans="1:14">
      <c r="A16" s="727" t="s">
        <v>167</v>
      </c>
      <c r="B16" s="74" t="s">
        <v>168</v>
      </c>
      <c r="C16" s="76" t="s">
        <v>136</v>
      </c>
      <c r="D16" s="76" t="s">
        <v>86</v>
      </c>
      <c r="E16" s="76" t="s">
        <v>132</v>
      </c>
      <c r="F16" s="720">
        <v>45918</v>
      </c>
      <c r="G16" s="720">
        <v>45968</v>
      </c>
      <c r="H16" s="76" t="s">
        <v>126</v>
      </c>
      <c r="I16" s="720"/>
      <c r="J16" s="737"/>
    </row>
    <row r="17" spans="1:10">
      <c r="A17" s="727" t="s">
        <v>169</v>
      </c>
      <c r="B17" s="74" t="s">
        <v>170</v>
      </c>
      <c r="C17" s="76" t="s">
        <v>136</v>
      </c>
      <c r="D17" s="76" t="s">
        <v>144</v>
      </c>
      <c r="E17" s="76" t="s">
        <v>125</v>
      </c>
      <c r="F17" s="720">
        <v>45937</v>
      </c>
      <c r="G17" s="720">
        <v>45985</v>
      </c>
      <c r="H17" s="76" t="s">
        <v>126</v>
      </c>
      <c r="I17" s="720"/>
      <c r="J17" s="737" t="s">
        <v>171</v>
      </c>
    </row>
    <row r="18" spans="1:10">
      <c r="A18" s="727" t="s">
        <v>172</v>
      </c>
      <c r="B18" s="74" t="s">
        <v>173</v>
      </c>
      <c r="C18" s="76" t="s">
        <v>136</v>
      </c>
      <c r="D18" s="76" t="s">
        <v>94</v>
      </c>
      <c r="E18" s="76" t="s">
        <v>125</v>
      </c>
      <c r="F18" s="720">
        <v>45937</v>
      </c>
      <c r="G18" s="720">
        <v>45985</v>
      </c>
      <c r="H18" s="76" t="s">
        <v>126</v>
      </c>
      <c r="I18" s="76"/>
      <c r="J18" s="737" t="s">
        <v>174</v>
      </c>
    </row>
    <row r="19" spans="1:10">
      <c r="A19" s="727" t="s">
        <v>175</v>
      </c>
      <c r="B19" s="74" t="s">
        <v>176</v>
      </c>
      <c r="C19" s="76" t="s">
        <v>131</v>
      </c>
      <c r="D19" s="76" t="s">
        <v>162</v>
      </c>
      <c r="E19" s="76" t="s">
        <v>177</v>
      </c>
      <c r="F19" s="720">
        <v>45937</v>
      </c>
      <c r="G19" s="720">
        <v>45966</v>
      </c>
      <c r="H19" s="76" t="s">
        <v>126</v>
      </c>
      <c r="I19" s="76"/>
      <c r="J19" s="737"/>
    </row>
    <row r="20" spans="1:10">
      <c r="A20" s="727" t="s">
        <v>178</v>
      </c>
      <c r="B20" s="74" t="s">
        <v>179</v>
      </c>
      <c r="C20" s="76" t="s">
        <v>136</v>
      </c>
      <c r="D20" s="76" t="s">
        <v>94</v>
      </c>
      <c r="E20" s="76" t="s">
        <v>125</v>
      </c>
      <c r="F20" s="720">
        <v>45937</v>
      </c>
      <c r="G20" s="720">
        <v>45985</v>
      </c>
      <c r="H20" s="76" t="s">
        <v>126</v>
      </c>
      <c r="I20" s="76"/>
      <c r="J20" s="737"/>
    </row>
    <row r="21" spans="1:10">
      <c r="A21" s="727" t="s">
        <v>180</v>
      </c>
      <c r="B21" s="74" t="s">
        <v>181</v>
      </c>
      <c r="C21" s="76" t="s">
        <v>136</v>
      </c>
      <c r="D21" s="76" t="s">
        <v>94</v>
      </c>
      <c r="E21" s="76" t="s">
        <v>125</v>
      </c>
      <c r="F21" s="720">
        <v>45937</v>
      </c>
      <c r="G21" s="720">
        <v>45985</v>
      </c>
      <c r="H21" s="76" t="s">
        <v>126</v>
      </c>
      <c r="I21" s="76"/>
      <c r="J21" s="737" t="s">
        <v>182</v>
      </c>
    </row>
    <row r="22" spans="1:10" ht="29">
      <c r="A22" s="727" t="s">
        <v>183</v>
      </c>
      <c r="B22" s="74" t="s">
        <v>184</v>
      </c>
      <c r="C22" s="76" t="s">
        <v>124</v>
      </c>
      <c r="D22" s="76" t="s">
        <v>144</v>
      </c>
      <c r="E22" s="76" t="s">
        <v>148</v>
      </c>
      <c r="F22" s="720">
        <v>45957</v>
      </c>
      <c r="G22" s="720">
        <f>Table2[[#This Row],[Date Raised]]+14</f>
        <v>45971</v>
      </c>
      <c r="H22" s="76" t="s">
        <v>126</v>
      </c>
      <c r="I22" s="76"/>
      <c r="J22" s="737" t="s">
        <v>185</v>
      </c>
    </row>
    <row r="23" spans="1:10">
      <c r="A23" s="727" t="s">
        <v>186</v>
      </c>
      <c r="B23" s="74" t="s">
        <v>187</v>
      </c>
      <c r="C23" s="76" t="s">
        <v>124</v>
      </c>
      <c r="D23" s="76" t="s">
        <v>94</v>
      </c>
      <c r="E23" s="76" t="s">
        <v>148</v>
      </c>
      <c r="F23" s="720">
        <v>45957</v>
      </c>
      <c r="G23" s="720">
        <v>45965</v>
      </c>
      <c r="H23" s="76"/>
      <c r="I23" s="76"/>
      <c r="J23" s="737" t="s">
        <v>188</v>
      </c>
    </row>
    <row r="24" spans="1:10">
      <c r="A24" s="727" t="s">
        <v>189</v>
      </c>
      <c r="B24" s="74" t="s">
        <v>190</v>
      </c>
      <c r="C24" s="76" t="s">
        <v>136</v>
      </c>
      <c r="D24" s="76" t="s">
        <v>86</v>
      </c>
      <c r="E24" s="76" t="s">
        <v>148</v>
      </c>
      <c r="F24" s="753">
        <v>45957</v>
      </c>
      <c r="G24" s="753">
        <v>46053</v>
      </c>
      <c r="H24" s="76" t="s">
        <v>126</v>
      </c>
      <c r="I24" s="76"/>
      <c r="J24" s="737" t="s">
        <v>191</v>
      </c>
    </row>
    <row r="25" spans="1:10">
      <c r="A25" s="727" t="s">
        <v>192</v>
      </c>
      <c r="B25" s="74" t="s">
        <v>193</v>
      </c>
      <c r="C25" s="76" t="s">
        <v>131</v>
      </c>
      <c r="D25" s="76" t="s">
        <v>194</v>
      </c>
      <c r="E25" s="76" t="s">
        <v>195</v>
      </c>
      <c r="F25" s="720">
        <v>45929</v>
      </c>
      <c r="G25" s="720">
        <v>45965</v>
      </c>
      <c r="H25" s="76" t="s">
        <v>126</v>
      </c>
      <c r="I25" s="76"/>
      <c r="J25" s="737" t="s">
        <v>196</v>
      </c>
    </row>
    <row r="26" spans="1:10">
      <c r="A26" s="727" t="s">
        <v>197</v>
      </c>
      <c r="B26" s="74" t="s">
        <v>198</v>
      </c>
      <c r="C26" s="76" t="s">
        <v>124</v>
      </c>
      <c r="D26" s="76" t="s">
        <v>144</v>
      </c>
      <c r="E26" s="76" t="s">
        <v>125</v>
      </c>
      <c r="F26" s="720">
        <v>45931</v>
      </c>
      <c r="G26" s="720">
        <v>45973</v>
      </c>
      <c r="H26" s="76" t="s">
        <v>126</v>
      </c>
      <c r="I26" s="76"/>
      <c r="J26" s="737"/>
    </row>
    <row r="27" spans="1:10">
      <c r="A27" s="727" t="s">
        <v>199</v>
      </c>
      <c r="B27" s="74" t="s">
        <v>200</v>
      </c>
      <c r="C27" s="76" t="s">
        <v>124</v>
      </c>
      <c r="D27" s="76" t="s">
        <v>144</v>
      </c>
      <c r="E27" s="76" t="s">
        <v>125</v>
      </c>
      <c r="F27" s="720">
        <v>45961</v>
      </c>
      <c r="G27" s="720">
        <v>45973</v>
      </c>
      <c r="H27" s="76" t="s">
        <v>126</v>
      </c>
      <c r="I27" s="76"/>
      <c r="J27" s="737"/>
    </row>
    <row r="28" spans="1:10">
      <c r="A28" s="727" t="s">
        <v>201</v>
      </c>
      <c r="B28" s="74" t="s">
        <v>202</v>
      </c>
      <c r="C28" s="76" t="s">
        <v>124</v>
      </c>
      <c r="D28" s="76" t="s">
        <v>94</v>
      </c>
      <c r="E28" s="76" t="s">
        <v>148</v>
      </c>
      <c r="F28" s="720">
        <v>45957</v>
      </c>
      <c r="G28" s="720">
        <v>45968</v>
      </c>
      <c r="H28" s="76" t="s">
        <v>126</v>
      </c>
      <c r="I28" s="76"/>
      <c r="J28" s="737"/>
    </row>
    <row r="29" spans="1:10">
      <c r="A29" s="727" t="s">
        <v>203</v>
      </c>
      <c r="B29" s="74" t="s">
        <v>204</v>
      </c>
      <c r="C29" s="76" t="s">
        <v>131</v>
      </c>
      <c r="D29" s="76" t="s">
        <v>162</v>
      </c>
      <c r="E29" s="76" t="s">
        <v>177</v>
      </c>
      <c r="F29" s="720">
        <v>45958</v>
      </c>
      <c r="G29" s="720">
        <v>45968</v>
      </c>
      <c r="H29" s="76" t="s">
        <v>126</v>
      </c>
      <c r="I29" s="76"/>
      <c r="J29" s="737"/>
    </row>
    <row r="30" spans="1:10">
      <c r="A30" s="727" t="s">
        <v>205</v>
      </c>
      <c r="B30" s="74" t="s">
        <v>206</v>
      </c>
      <c r="C30" s="76" t="s">
        <v>131</v>
      </c>
      <c r="D30" s="76" t="s">
        <v>162</v>
      </c>
      <c r="E30" s="76" t="s">
        <v>177</v>
      </c>
      <c r="F30" s="720">
        <v>45958</v>
      </c>
      <c r="G30" s="720">
        <v>45968</v>
      </c>
      <c r="H30" s="76" t="s">
        <v>126</v>
      </c>
      <c r="I30" s="76"/>
      <c r="J30" s="737"/>
    </row>
    <row r="31" spans="1:10">
      <c r="A31" s="727" t="s">
        <v>207</v>
      </c>
      <c r="B31" s="74" t="s">
        <v>208</v>
      </c>
      <c r="C31" s="76" t="s">
        <v>131</v>
      </c>
      <c r="D31" s="76" t="s">
        <v>162</v>
      </c>
      <c r="E31" s="76" t="s">
        <v>148</v>
      </c>
      <c r="F31" s="720">
        <v>45958</v>
      </c>
      <c r="G31" s="720">
        <v>45968</v>
      </c>
      <c r="H31" s="76" t="s">
        <v>126</v>
      </c>
      <c r="I31" s="76"/>
      <c r="J31" s="737"/>
    </row>
    <row r="32" spans="1:10">
      <c r="A32" s="727" t="s">
        <v>209</v>
      </c>
      <c r="B32" s="74" t="s">
        <v>210</v>
      </c>
      <c r="C32" s="76" t="s">
        <v>136</v>
      </c>
      <c r="D32" s="76" t="s">
        <v>144</v>
      </c>
      <c r="E32" s="76" t="s">
        <v>125</v>
      </c>
      <c r="F32" s="720">
        <v>45965</v>
      </c>
      <c r="G32" s="720">
        <f>Table2[[#This Row],[Date Raised]]</f>
        <v>45965</v>
      </c>
      <c r="H32" s="76"/>
      <c r="I32" s="76"/>
      <c r="J32" s="737"/>
    </row>
    <row r="33" spans="1:10">
      <c r="A33" s="727" t="s">
        <v>211</v>
      </c>
      <c r="B33" s="735" t="s">
        <v>212</v>
      </c>
      <c r="C33" s="733" t="s">
        <v>124</v>
      </c>
      <c r="D33" s="733" t="s">
        <v>94</v>
      </c>
      <c r="E33" s="76" t="s">
        <v>125</v>
      </c>
      <c r="F33" s="720">
        <v>45965</v>
      </c>
      <c r="G33" s="720">
        <f>Table2[[#This Row],[Date Raised]]</f>
        <v>45965</v>
      </c>
      <c r="H33" s="733"/>
      <c r="I33" s="733"/>
      <c r="J33" s="739"/>
    </row>
    <row r="34" spans="1:10">
      <c r="A34" s="727" t="s">
        <v>213</v>
      </c>
      <c r="B34" s="735" t="s">
        <v>214</v>
      </c>
      <c r="C34" s="733" t="s">
        <v>131</v>
      </c>
      <c r="D34" s="733" t="s">
        <v>94</v>
      </c>
      <c r="E34" s="733" t="s">
        <v>125</v>
      </c>
      <c r="F34" s="720">
        <v>45965</v>
      </c>
      <c r="G34" s="756">
        <f>Table2[[#This Row],[Date Raised]]+7</f>
        <v>45972</v>
      </c>
      <c r="H34" s="733"/>
      <c r="I34" s="733"/>
      <c r="J34" s="739"/>
    </row>
    <row r="35" spans="1:10">
      <c r="A35" s="727" t="s">
        <v>215</v>
      </c>
      <c r="B35" s="735"/>
      <c r="C35" s="733"/>
      <c r="D35" s="733"/>
      <c r="E35" s="733"/>
      <c r="F35" s="733"/>
      <c r="G35" s="733"/>
      <c r="H35" s="733"/>
      <c r="I35" s="733"/>
      <c r="J35" s="739"/>
    </row>
    <row r="36" spans="1:10">
      <c r="A36" s="727" t="s">
        <v>216</v>
      </c>
      <c r="B36" s="735"/>
      <c r="C36" s="733"/>
      <c r="D36" s="733"/>
      <c r="E36" s="733"/>
      <c r="F36" s="733"/>
      <c r="G36" s="733"/>
      <c r="H36" s="733"/>
      <c r="I36" s="733"/>
      <c r="J36" s="739"/>
    </row>
    <row r="37" spans="1:10">
      <c r="A37" s="727" t="s">
        <v>217</v>
      </c>
      <c r="B37" s="735"/>
      <c r="C37" s="733"/>
      <c r="D37" s="733"/>
      <c r="E37" s="733"/>
      <c r="F37" s="733"/>
      <c r="G37" s="733"/>
      <c r="H37" s="733"/>
      <c r="I37" s="733"/>
      <c r="J37" s="739"/>
    </row>
    <row r="38" spans="1:10">
      <c r="A38" s="727" t="s">
        <v>218</v>
      </c>
      <c r="B38" s="735"/>
      <c r="C38" s="733"/>
      <c r="D38" s="733"/>
      <c r="E38" s="733"/>
      <c r="F38" s="733"/>
      <c r="G38" s="733"/>
      <c r="H38" s="733"/>
      <c r="I38" s="733"/>
      <c r="J38" s="739"/>
    </row>
    <row r="39" spans="1:10">
      <c r="A39" s="727" t="s">
        <v>219</v>
      </c>
      <c r="B39" s="735"/>
      <c r="C39" s="733"/>
      <c r="D39" s="733"/>
      <c r="E39" s="733"/>
      <c r="F39" s="733"/>
      <c r="G39" s="733"/>
      <c r="H39" s="733"/>
      <c r="I39" s="733"/>
      <c r="J39" s="739"/>
    </row>
    <row r="40" spans="1:10">
      <c r="A40" s="727" t="s">
        <v>220</v>
      </c>
      <c r="B40" s="735"/>
      <c r="C40" s="733"/>
      <c r="D40" s="733"/>
      <c r="E40" s="733"/>
      <c r="F40" s="733"/>
      <c r="G40" s="733"/>
      <c r="H40" s="733"/>
      <c r="I40" s="733"/>
      <c r="J40" s="739"/>
    </row>
    <row r="41" spans="1:10">
      <c r="A41" s="727" t="s">
        <v>221</v>
      </c>
      <c r="B41" s="735"/>
      <c r="C41" s="733"/>
      <c r="D41" s="733"/>
      <c r="E41" s="733"/>
      <c r="F41" s="733"/>
      <c r="G41" s="733"/>
      <c r="H41" s="733"/>
      <c r="I41" s="733"/>
      <c r="J41" s="739"/>
    </row>
    <row r="42" spans="1:10">
      <c r="A42" s="727" t="s">
        <v>222</v>
      </c>
      <c r="B42" s="735"/>
      <c r="C42" s="733"/>
      <c r="D42" s="733"/>
      <c r="E42" s="733"/>
      <c r="F42" s="733"/>
      <c r="G42" s="733"/>
      <c r="H42" s="733"/>
      <c r="I42" s="733"/>
      <c r="J42" s="739"/>
    </row>
    <row r="43" spans="1:10">
      <c r="A43" s="727" t="s">
        <v>223</v>
      </c>
      <c r="B43" s="735"/>
      <c r="C43" s="733"/>
      <c r="D43" s="733"/>
      <c r="E43" s="733"/>
      <c r="F43" s="733"/>
      <c r="G43" s="733"/>
      <c r="H43" s="733"/>
      <c r="I43" s="733"/>
      <c r="J43" s="739"/>
    </row>
    <row r="44" spans="1:10">
      <c r="A44" s="727" t="s">
        <v>224</v>
      </c>
      <c r="B44" s="735"/>
      <c r="C44" s="733"/>
      <c r="D44" s="733"/>
      <c r="E44" s="733"/>
      <c r="F44" s="733"/>
      <c r="G44" s="733"/>
      <c r="H44" s="733"/>
      <c r="I44" s="733"/>
      <c r="J44" s="739"/>
    </row>
    <row r="45" spans="1:10">
      <c r="A45" s="727" t="s">
        <v>225</v>
      </c>
      <c r="B45" s="735"/>
      <c r="C45" s="733"/>
      <c r="D45" s="733"/>
      <c r="E45" s="733"/>
      <c r="F45" s="733"/>
      <c r="G45" s="733"/>
      <c r="H45" s="733"/>
      <c r="I45" s="733"/>
      <c r="J45" s="739"/>
    </row>
    <row r="46" spans="1:10">
      <c r="A46" s="727" t="s">
        <v>226</v>
      </c>
      <c r="B46" s="735"/>
      <c r="C46" s="733"/>
      <c r="D46" s="733"/>
      <c r="E46" s="733"/>
      <c r="F46" s="733"/>
      <c r="G46" s="733"/>
      <c r="H46" s="733"/>
      <c r="I46" s="733"/>
      <c r="J46" s="739"/>
    </row>
    <row r="47" spans="1:10">
      <c r="A47" s="727" t="s">
        <v>227</v>
      </c>
      <c r="B47" s="735"/>
      <c r="C47" s="733"/>
      <c r="D47" s="733"/>
      <c r="E47" s="733"/>
      <c r="F47" s="733"/>
      <c r="G47" s="733"/>
      <c r="H47" s="733"/>
      <c r="I47" s="733"/>
      <c r="J47" s="739"/>
    </row>
    <row r="48" spans="1:10">
      <c r="A48" s="727" t="s">
        <v>228</v>
      </c>
      <c r="B48" s="735"/>
      <c r="C48" s="733"/>
      <c r="D48" s="733"/>
      <c r="E48" s="733"/>
      <c r="F48" s="733"/>
      <c r="G48" s="733"/>
      <c r="H48" s="733"/>
      <c r="I48" s="733"/>
      <c r="J48" s="739"/>
    </row>
    <row r="49" spans="1:10">
      <c r="A49" s="727" t="s">
        <v>229</v>
      </c>
      <c r="B49" s="735"/>
      <c r="C49" s="733"/>
      <c r="D49" s="733"/>
      <c r="E49" s="733"/>
      <c r="F49" s="733"/>
      <c r="G49" s="733"/>
      <c r="H49" s="733"/>
      <c r="I49" s="733"/>
      <c r="J49" s="739"/>
    </row>
    <row r="50" spans="1:10">
      <c r="A50" s="727" t="s">
        <v>230</v>
      </c>
      <c r="B50" s="735"/>
      <c r="C50" s="733"/>
      <c r="D50" s="733"/>
      <c r="E50" s="733"/>
      <c r="F50" s="733"/>
      <c r="G50" s="733"/>
      <c r="H50" s="733"/>
      <c r="I50" s="733"/>
      <c r="J50" s="739"/>
    </row>
    <row r="51" spans="1:10">
      <c r="A51" s="727" t="s">
        <v>231</v>
      </c>
      <c r="B51" s="735"/>
      <c r="C51" s="733"/>
      <c r="D51" s="733"/>
      <c r="E51" s="733"/>
      <c r="F51" s="733"/>
      <c r="G51" s="733"/>
      <c r="H51" s="733"/>
      <c r="I51" s="733"/>
      <c r="J51" s="739"/>
    </row>
    <row r="52" spans="1:10">
      <c r="A52" s="727" t="s">
        <v>232</v>
      </c>
      <c r="B52" s="735"/>
      <c r="C52" s="733"/>
      <c r="D52" s="733"/>
      <c r="E52" s="733"/>
      <c r="F52" s="733"/>
      <c r="G52" s="733"/>
      <c r="H52" s="733"/>
      <c r="I52" s="733"/>
      <c r="J52" s="739"/>
    </row>
    <row r="53" spans="1:10">
      <c r="A53" s="727" t="s">
        <v>233</v>
      </c>
      <c r="B53" s="735"/>
      <c r="C53" s="733"/>
      <c r="D53" s="733"/>
      <c r="E53" s="733"/>
      <c r="F53" s="733"/>
      <c r="G53" s="733"/>
      <c r="H53" s="733"/>
      <c r="I53" s="733"/>
      <c r="J53" s="739"/>
    </row>
    <row r="54" spans="1:10">
      <c r="A54" s="727" t="s">
        <v>234</v>
      </c>
      <c r="B54" s="735"/>
      <c r="C54" s="733"/>
      <c r="D54" s="733"/>
      <c r="E54" s="733"/>
      <c r="F54" s="733"/>
      <c r="G54" s="733"/>
      <c r="H54" s="733"/>
      <c r="I54" s="733"/>
      <c r="J54" s="739"/>
    </row>
    <row r="55" spans="1:10">
      <c r="A55" s="727" t="s">
        <v>235</v>
      </c>
      <c r="B55" s="735"/>
      <c r="C55" s="733"/>
      <c r="D55" s="733"/>
      <c r="E55" s="733"/>
      <c r="F55" s="733"/>
      <c r="G55" s="733"/>
      <c r="H55" s="733"/>
      <c r="I55" s="733"/>
      <c r="J55" s="739"/>
    </row>
    <row r="56" spans="1:10">
      <c r="A56" s="727" t="s">
        <v>236</v>
      </c>
      <c r="B56" s="735"/>
      <c r="C56" s="733"/>
      <c r="D56" s="733"/>
      <c r="E56" s="733"/>
      <c r="F56" s="733"/>
      <c r="G56" s="733"/>
      <c r="H56" s="733"/>
      <c r="I56" s="733"/>
      <c r="J56" s="739"/>
    </row>
    <row r="57" spans="1:10">
      <c r="A57" s="727" t="s">
        <v>237</v>
      </c>
      <c r="B57" s="735"/>
      <c r="C57" s="733"/>
      <c r="D57" s="733"/>
      <c r="E57" s="733"/>
      <c r="F57" s="733"/>
      <c r="G57" s="733"/>
      <c r="H57" s="733"/>
      <c r="I57" s="733"/>
      <c r="J57" s="739"/>
    </row>
    <row r="58" spans="1:10">
      <c r="A58" s="727" t="s">
        <v>238</v>
      </c>
      <c r="B58" s="735"/>
      <c r="C58" s="733"/>
      <c r="D58" s="733"/>
      <c r="E58" s="733"/>
      <c r="F58" s="733"/>
      <c r="G58" s="733"/>
      <c r="H58" s="733"/>
      <c r="I58" s="733"/>
      <c r="J58" s="739"/>
    </row>
    <row r="59" spans="1:10">
      <c r="A59" s="727" t="s">
        <v>239</v>
      </c>
      <c r="B59" s="735"/>
      <c r="C59" s="733"/>
      <c r="D59" s="733"/>
      <c r="E59" s="733"/>
      <c r="F59" s="733"/>
      <c r="G59" s="733"/>
      <c r="H59" s="733"/>
      <c r="I59" s="733"/>
      <c r="J59" s="739"/>
    </row>
    <row r="60" spans="1:10">
      <c r="A60" s="727" t="s">
        <v>240</v>
      </c>
      <c r="B60" s="735"/>
      <c r="C60" s="733"/>
      <c r="D60" s="733"/>
      <c r="E60" s="733"/>
      <c r="F60" s="733"/>
      <c r="G60" s="733"/>
      <c r="H60" s="733"/>
      <c r="I60" s="733"/>
      <c r="J60" s="739"/>
    </row>
    <row r="61" spans="1:10">
      <c r="A61" s="727" t="s">
        <v>241</v>
      </c>
      <c r="B61" s="735"/>
      <c r="C61" s="733"/>
      <c r="D61" s="733"/>
      <c r="E61" s="733"/>
      <c r="F61" s="733"/>
      <c r="G61" s="733"/>
      <c r="H61" s="733"/>
      <c r="I61" s="733"/>
      <c r="J61" s="739"/>
    </row>
    <row r="62" spans="1:10">
      <c r="A62" s="727" t="s">
        <v>242</v>
      </c>
      <c r="B62" s="735"/>
      <c r="C62" s="733"/>
      <c r="D62" s="733"/>
      <c r="E62" s="733"/>
      <c r="F62" s="733"/>
      <c r="G62" s="733"/>
      <c r="H62" s="733"/>
      <c r="I62" s="733"/>
      <c r="J62" s="739"/>
    </row>
    <row r="63" spans="1:10">
      <c r="A63" s="727" t="s">
        <v>243</v>
      </c>
      <c r="B63" s="735"/>
      <c r="C63" s="733"/>
      <c r="D63" s="733"/>
      <c r="E63" s="733"/>
      <c r="F63" s="733"/>
      <c r="G63" s="733"/>
      <c r="H63" s="733"/>
      <c r="I63" s="733"/>
      <c r="J63" s="739"/>
    </row>
    <row r="64" spans="1:10">
      <c r="A64" s="727" t="s">
        <v>244</v>
      </c>
      <c r="B64" s="735"/>
      <c r="C64" s="733"/>
      <c r="D64" s="733"/>
      <c r="E64" s="733"/>
      <c r="F64" s="733"/>
      <c r="G64" s="733"/>
      <c r="H64" s="733"/>
      <c r="I64" s="733"/>
      <c r="J64" s="739"/>
    </row>
    <row r="65" spans="1:10">
      <c r="A65" s="727" t="s">
        <v>245</v>
      </c>
      <c r="B65" s="735"/>
      <c r="C65" s="733"/>
      <c r="D65" s="733"/>
      <c r="E65" s="733"/>
      <c r="F65" s="733"/>
      <c r="G65" s="733"/>
      <c r="H65" s="733"/>
      <c r="I65" s="733"/>
      <c r="J65" s="739"/>
    </row>
    <row r="66" spans="1:10">
      <c r="A66" s="727" t="s">
        <v>246</v>
      </c>
      <c r="B66" s="735"/>
      <c r="C66" s="733"/>
      <c r="D66" s="733"/>
      <c r="E66" s="733"/>
      <c r="F66" s="733"/>
      <c r="G66" s="733"/>
      <c r="H66" s="733"/>
      <c r="I66" s="733"/>
      <c r="J66" s="739"/>
    </row>
    <row r="67" spans="1:10">
      <c r="A67" s="727" t="s">
        <v>247</v>
      </c>
      <c r="B67" s="735"/>
      <c r="C67" s="733"/>
      <c r="D67" s="733"/>
      <c r="E67" s="733"/>
      <c r="F67" s="733"/>
      <c r="G67" s="733"/>
      <c r="H67" s="733"/>
      <c r="I67" s="733"/>
      <c r="J67" s="739"/>
    </row>
    <row r="68" spans="1:10">
      <c r="A68" s="727" t="s">
        <v>248</v>
      </c>
      <c r="B68" s="735"/>
      <c r="C68" s="733"/>
      <c r="D68" s="733"/>
      <c r="E68" s="733"/>
      <c r="F68" s="733"/>
      <c r="G68" s="733"/>
      <c r="H68" s="733"/>
      <c r="I68" s="733"/>
      <c r="J68" s="739"/>
    </row>
    <row r="69" spans="1:10">
      <c r="A69" s="727" t="s">
        <v>249</v>
      </c>
      <c r="B69" s="735"/>
      <c r="C69" s="733"/>
      <c r="D69" s="733"/>
      <c r="E69" s="733"/>
      <c r="F69" s="733"/>
      <c r="G69" s="733"/>
      <c r="H69" s="733"/>
      <c r="I69" s="733"/>
      <c r="J69" s="739"/>
    </row>
    <row r="70" spans="1:10">
      <c r="A70" s="727" t="s">
        <v>250</v>
      </c>
      <c r="B70" s="735"/>
      <c r="C70" s="733"/>
      <c r="D70" s="733"/>
      <c r="E70" s="733"/>
      <c r="F70" s="733"/>
      <c r="G70" s="733"/>
      <c r="H70" s="733"/>
      <c r="I70" s="733"/>
      <c r="J70" s="739"/>
    </row>
    <row r="71" spans="1:10">
      <c r="A71" s="727" t="s">
        <v>251</v>
      </c>
      <c r="B71" s="735"/>
      <c r="C71" s="733"/>
      <c r="D71" s="733"/>
      <c r="E71" s="733"/>
      <c r="F71" s="733"/>
      <c r="G71" s="733"/>
      <c r="H71" s="733"/>
      <c r="I71" s="733"/>
      <c r="J71" s="739"/>
    </row>
    <row r="72" spans="1:10">
      <c r="A72" s="727" t="s">
        <v>252</v>
      </c>
      <c r="B72" s="735"/>
      <c r="C72" s="733"/>
      <c r="D72" s="733"/>
      <c r="E72" s="733"/>
      <c r="F72" s="733"/>
      <c r="G72" s="733"/>
      <c r="H72" s="733"/>
      <c r="I72" s="733"/>
      <c r="J72" s="739"/>
    </row>
    <row r="73" spans="1:10">
      <c r="A73" s="727" t="s">
        <v>253</v>
      </c>
      <c r="B73" s="735"/>
      <c r="C73" s="733"/>
      <c r="D73" s="733"/>
      <c r="E73" s="733"/>
      <c r="F73" s="733"/>
      <c r="G73" s="733"/>
      <c r="H73" s="733"/>
      <c r="I73" s="733"/>
      <c r="J73" s="739"/>
    </row>
    <row r="74" spans="1:10">
      <c r="A74" s="727" t="s">
        <v>254</v>
      </c>
      <c r="B74" s="735"/>
      <c r="C74" s="733"/>
      <c r="D74" s="733"/>
      <c r="E74" s="733"/>
      <c r="F74" s="733"/>
      <c r="G74" s="733"/>
      <c r="H74" s="733"/>
      <c r="I74" s="733"/>
      <c r="J74" s="739"/>
    </row>
    <row r="75" spans="1:10">
      <c r="A75" s="727" t="s">
        <v>255</v>
      </c>
      <c r="B75" s="735"/>
      <c r="C75" s="733"/>
      <c r="D75" s="733"/>
      <c r="E75" s="733"/>
      <c r="F75" s="733"/>
      <c r="G75" s="733"/>
      <c r="H75" s="733"/>
      <c r="I75" s="733"/>
      <c r="J75" s="739"/>
    </row>
    <row r="76" spans="1:10">
      <c r="A76" s="727" t="s">
        <v>256</v>
      </c>
      <c r="B76" s="735"/>
      <c r="C76" s="733"/>
      <c r="D76" s="733"/>
      <c r="E76" s="733"/>
      <c r="F76" s="733"/>
      <c r="G76" s="733"/>
      <c r="H76" s="733"/>
      <c r="I76" s="733"/>
      <c r="J76" s="739"/>
    </row>
    <row r="77" spans="1:10">
      <c r="A77" s="727" t="s">
        <v>257</v>
      </c>
      <c r="B77" s="735"/>
      <c r="C77" s="733"/>
      <c r="D77" s="733"/>
      <c r="E77" s="733"/>
      <c r="F77" s="733"/>
      <c r="G77" s="733"/>
      <c r="H77" s="733"/>
      <c r="I77" s="733"/>
      <c r="J77" s="739"/>
    </row>
    <row r="78" spans="1:10">
      <c r="A78" s="727" t="s">
        <v>258</v>
      </c>
      <c r="B78" s="735"/>
      <c r="C78" s="733"/>
      <c r="D78" s="733"/>
      <c r="E78" s="733"/>
      <c r="F78" s="733"/>
      <c r="G78" s="733"/>
      <c r="H78" s="733"/>
      <c r="I78" s="733"/>
      <c r="J78" s="739"/>
    </row>
    <row r="79" spans="1:10">
      <c r="A79" s="727" t="s">
        <v>259</v>
      </c>
      <c r="B79" s="735"/>
      <c r="C79" s="733"/>
      <c r="D79" s="733"/>
      <c r="E79" s="733"/>
      <c r="F79" s="733"/>
      <c r="G79" s="733"/>
      <c r="H79" s="733"/>
      <c r="I79" s="733"/>
      <c r="J79" s="739"/>
    </row>
    <row r="80" spans="1:10">
      <c r="A80" s="727" t="s">
        <v>260</v>
      </c>
      <c r="B80" s="735"/>
      <c r="C80" s="733"/>
      <c r="D80" s="733"/>
      <c r="E80" s="733"/>
      <c r="F80" s="733"/>
      <c r="G80" s="733"/>
      <c r="H80" s="733"/>
      <c r="I80" s="733"/>
      <c r="J80" s="739"/>
    </row>
    <row r="81" spans="1:10">
      <c r="A81" s="727" t="s">
        <v>261</v>
      </c>
      <c r="B81" s="735"/>
      <c r="C81" s="733"/>
      <c r="D81" s="733"/>
      <c r="E81" s="733"/>
      <c r="F81" s="733"/>
      <c r="G81" s="733"/>
      <c r="H81" s="733"/>
      <c r="I81" s="733"/>
      <c r="J81" s="739"/>
    </row>
    <row r="82" spans="1:10">
      <c r="A82" s="727" t="s">
        <v>262</v>
      </c>
      <c r="B82" s="735"/>
      <c r="C82" s="733"/>
      <c r="D82" s="733"/>
      <c r="E82" s="733"/>
      <c r="F82" s="733"/>
      <c r="G82" s="733"/>
      <c r="H82" s="733"/>
      <c r="I82" s="733"/>
      <c r="J82" s="739"/>
    </row>
    <row r="83" spans="1:10">
      <c r="A83" s="727" t="s">
        <v>263</v>
      </c>
      <c r="B83" s="735"/>
      <c r="C83" s="733"/>
      <c r="D83" s="733"/>
      <c r="E83" s="733"/>
      <c r="F83" s="733"/>
      <c r="G83" s="733"/>
      <c r="H83" s="733"/>
      <c r="I83" s="733"/>
      <c r="J83" s="739"/>
    </row>
    <row r="84" spans="1:10">
      <c r="A84" s="727" t="s">
        <v>264</v>
      </c>
      <c r="B84" s="735"/>
      <c r="C84" s="733"/>
      <c r="D84" s="733"/>
      <c r="E84" s="733"/>
      <c r="F84" s="733"/>
      <c r="G84" s="733"/>
      <c r="H84" s="733"/>
      <c r="I84" s="733"/>
      <c r="J84" s="739"/>
    </row>
    <row r="85" spans="1:10">
      <c r="A85" s="727" t="s">
        <v>265</v>
      </c>
      <c r="B85" s="735"/>
      <c r="C85" s="733"/>
      <c r="D85" s="733"/>
      <c r="E85" s="733"/>
      <c r="F85" s="733"/>
      <c r="G85" s="733"/>
      <c r="H85" s="733"/>
      <c r="I85" s="733"/>
      <c r="J85" s="739"/>
    </row>
    <row r="86" spans="1:10">
      <c r="A86" s="727" t="s">
        <v>266</v>
      </c>
      <c r="B86" s="735"/>
      <c r="C86" s="733"/>
      <c r="D86" s="733"/>
      <c r="E86" s="733"/>
      <c r="F86" s="733"/>
      <c r="G86" s="733"/>
      <c r="H86" s="733"/>
      <c r="I86" s="733"/>
      <c r="J86" s="739"/>
    </row>
    <row r="87" spans="1:10">
      <c r="A87" s="727" t="s">
        <v>267</v>
      </c>
      <c r="B87" s="735"/>
      <c r="C87" s="733"/>
      <c r="D87" s="733"/>
      <c r="E87" s="733"/>
      <c r="F87" s="733"/>
      <c r="G87" s="733"/>
      <c r="H87" s="733"/>
      <c r="I87" s="733"/>
      <c r="J87" s="739"/>
    </row>
    <row r="88" spans="1:10">
      <c r="A88" s="727" t="s">
        <v>268</v>
      </c>
      <c r="B88" s="735"/>
      <c r="C88" s="733"/>
      <c r="D88" s="733"/>
      <c r="E88" s="733"/>
      <c r="F88" s="733"/>
      <c r="G88" s="733"/>
      <c r="H88" s="733"/>
      <c r="I88" s="733"/>
      <c r="J88" s="739"/>
    </row>
    <row r="89" spans="1:10">
      <c r="A89" s="727" t="s">
        <v>269</v>
      </c>
      <c r="B89" s="735"/>
      <c r="C89" s="733"/>
      <c r="D89" s="733"/>
      <c r="E89" s="733"/>
      <c r="F89" s="733"/>
      <c r="G89" s="733"/>
      <c r="H89" s="733"/>
      <c r="I89" s="733"/>
      <c r="J89" s="739"/>
    </row>
    <row r="90" spans="1:10">
      <c r="A90" s="727" t="s">
        <v>270</v>
      </c>
      <c r="B90" s="735"/>
      <c r="C90" s="733"/>
      <c r="D90" s="733"/>
      <c r="E90" s="733"/>
      <c r="F90" s="733"/>
      <c r="G90" s="733"/>
      <c r="H90" s="733"/>
      <c r="I90" s="733"/>
      <c r="J90" s="739"/>
    </row>
    <row r="91" spans="1:10">
      <c r="A91" s="727" t="s">
        <v>271</v>
      </c>
      <c r="B91" s="735"/>
      <c r="C91" s="733"/>
      <c r="D91" s="733"/>
      <c r="E91" s="733"/>
      <c r="F91" s="733"/>
      <c r="G91" s="733"/>
      <c r="H91" s="733"/>
      <c r="I91" s="733"/>
      <c r="J91" s="739"/>
    </row>
    <row r="92" spans="1:10">
      <c r="A92" s="727" t="s">
        <v>272</v>
      </c>
      <c r="B92" s="735"/>
      <c r="C92" s="733"/>
      <c r="D92" s="733"/>
      <c r="E92" s="733"/>
      <c r="F92" s="733"/>
      <c r="G92" s="733"/>
      <c r="H92" s="733"/>
      <c r="I92" s="733"/>
      <c r="J92" s="739"/>
    </row>
    <row r="93" spans="1:10">
      <c r="A93" s="727" t="s">
        <v>273</v>
      </c>
      <c r="B93" s="735"/>
      <c r="C93" s="733"/>
      <c r="D93" s="733"/>
      <c r="E93" s="733"/>
      <c r="F93" s="733"/>
      <c r="G93" s="733"/>
      <c r="H93" s="733"/>
      <c r="I93" s="733"/>
      <c r="J93" s="739"/>
    </row>
    <row r="94" spans="1:10">
      <c r="A94" s="727" t="s">
        <v>274</v>
      </c>
      <c r="B94" s="735"/>
      <c r="C94" s="733"/>
      <c r="D94" s="733"/>
      <c r="E94" s="733"/>
      <c r="F94" s="733"/>
      <c r="G94" s="733"/>
      <c r="H94" s="733"/>
      <c r="I94" s="733"/>
      <c r="J94" s="739"/>
    </row>
    <row r="95" spans="1:10">
      <c r="A95" s="727" t="s">
        <v>275</v>
      </c>
      <c r="B95" s="735"/>
      <c r="C95" s="733"/>
      <c r="D95" s="733"/>
      <c r="E95" s="733"/>
      <c r="F95" s="733"/>
      <c r="G95" s="733"/>
      <c r="H95" s="733"/>
      <c r="I95" s="733"/>
      <c r="J95" s="739"/>
    </row>
    <row r="96" spans="1:10">
      <c r="A96" s="727" t="s">
        <v>276</v>
      </c>
      <c r="B96" s="735"/>
      <c r="C96" s="733"/>
      <c r="D96" s="733"/>
      <c r="E96" s="733"/>
      <c r="F96" s="733"/>
      <c r="G96" s="733"/>
      <c r="H96" s="733"/>
      <c r="I96" s="733"/>
      <c r="J96" s="739"/>
    </row>
    <row r="97" spans="1:10">
      <c r="A97" s="727" t="s">
        <v>277</v>
      </c>
      <c r="B97" s="735"/>
      <c r="C97" s="733"/>
      <c r="D97" s="733"/>
      <c r="E97" s="733"/>
      <c r="F97" s="733"/>
      <c r="G97" s="733"/>
      <c r="H97" s="733"/>
      <c r="I97" s="733"/>
      <c r="J97" s="739"/>
    </row>
    <row r="98" spans="1:10">
      <c r="A98" s="727" t="s">
        <v>278</v>
      </c>
      <c r="B98" s="735"/>
      <c r="C98" s="733"/>
      <c r="D98" s="733"/>
      <c r="E98" s="733"/>
      <c r="F98" s="733"/>
      <c r="G98" s="733"/>
      <c r="H98" s="733"/>
      <c r="I98" s="733"/>
      <c r="J98" s="739"/>
    </row>
    <row r="99" spans="1:10">
      <c r="A99" s="727" t="s">
        <v>279</v>
      </c>
      <c r="B99" s="735"/>
      <c r="C99" s="733"/>
      <c r="D99" s="733"/>
      <c r="E99" s="733"/>
      <c r="F99" s="733"/>
      <c r="G99" s="733"/>
      <c r="H99" s="733"/>
      <c r="I99" s="733"/>
      <c r="J99" s="739"/>
    </row>
    <row r="100" spans="1:10">
      <c r="A100" s="727" t="s">
        <v>280</v>
      </c>
      <c r="B100" s="735"/>
      <c r="C100" s="733"/>
      <c r="D100" s="733"/>
      <c r="E100" s="733"/>
      <c r="F100" s="733"/>
      <c r="G100" s="733"/>
      <c r="H100" s="733"/>
      <c r="I100" s="733"/>
      <c r="J100" s="739"/>
    </row>
    <row r="101" spans="1:10">
      <c r="A101" s="727" t="s">
        <v>281</v>
      </c>
      <c r="B101" s="735"/>
      <c r="C101" s="733"/>
      <c r="D101" s="733"/>
      <c r="E101" s="733"/>
      <c r="F101" s="733"/>
      <c r="G101" s="733"/>
      <c r="H101" s="733"/>
      <c r="I101" s="733"/>
      <c r="J101" s="739"/>
    </row>
    <row r="102" spans="1:10">
      <c r="A102" s="727" t="s">
        <v>282</v>
      </c>
      <c r="B102" s="735"/>
      <c r="C102" s="733"/>
      <c r="D102" s="733"/>
      <c r="E102" s="733"/>
      <c r="F102" s="733"/>
      <c r="G102" s="733"/>
      <c r="H102" s="733"/>
      <c r="I102" s="733"/>
      <c r="J102" s="739"/>
    </row>
    <row r="103" spans="1:10" ht="6.75" customHeight="1">
      <c r="A103" s="727" t="s">
        <v>283</v>
      </c>
      <c r="B103" s="735"/>
      <c r="C103" s="733"/>
      <c r="D103" s="733"/>
      <c r="E103" s="733"/>
      <c r="F103" s="733"/>
      <c r="G103" s="733"/>
      <c r="H103" s="733"/>
      <c r="I103" s="733"/>
      <c r="J103" s="739"/>
    </row>
  </sheetData>
  <mergeCells count="2">
    <mergeCell ref="A1:D1"/>
    <mergeCell ref="F1:J1"/>
  </mergeCells>
  <phoneticPr fontId="19" type="noConversion"/>
  <conditionalFormatting sqref="H4:H103">
    <cfRule type="containsText" dxfId="84" priority="1" operator="containsText" text="Not Started">
      <formula>NOT(ISERROR(SEARCH("Not Started",H4)))</formula>
    </cfRule>
    <cfRule type="containsText" dxfId="83" priority="5" operator="containsText" text="Pending">
      <formula>NOT(ISERROR(SEARCH("Pending",H4)))</formula>
    </cfRule>
    <cfRule type="containsText" dxfId="82" priority="6" operator="containsText" text="Declined">
      <formula>NOT(ISERROR(SEARCH("Declined",H4)))</formula>
    </cfRule>
    <cfRule type="containsText" dxfId="81" priority="7" operator="containsText" text="Abandoned">
      <formula>NOT(ISERROR(SEARCH("Abandoned",H4)))</formula>
    </cfRule>
    <cfRule type="containsText" dxfId="80" priority="8" operator="containsText" text="Declined">
      <formula>NOT(ISERROR(SEARCH("Declined",H4)))</formula>
    </cfRule>
    <cfRule type="containsText" dxfId="79" priority="9" operator="containsText" text="Approved">
      <formula>NOT(ISERROR(SEARCH("Approved",H4)))</formula>
    </cfRule>
  </conditionalFormatting>
  <conditionalFormatting sqref="C4:C103">
    <cfRule type="cellIs" dxfId="78" priority="2" operator="equal">
      <formula>"Green"</formula>
    </cfRule>
    <cfRule type="cellIs" dxfId="77" priority="3" operator="equal">
      <formula>"Amber"</formula>
    </cfRule>
    <cfRule type="cellIs" dxfId="76"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36328125" customWidth="1"/>
    <col min="2" max="2" width="10.36328125" customWidth="1"/>
    <col min="3" max="3" width="16.6328125" customWidth="1"/>
    <col min="4" max="4" width="28" customWidth="1"/>
    <col min="5" max="5" width="14.6328125" customWidth="1"/>
  </cols>
  <sheetData>
    <row r="1" spans="1:9" ht="21">
      <c r="C1" s="781" t="s">
        <v>61</v>
      </c>
      <c r="D1" s="781"/>
      <c r="E1" s="781"/>
      <c r="F1" s="781"/>
      <c r="G1" s="781"/>
      <c r="H1" s="781"/>
      <c r="I1" s="781"/>
    </row>
    <row r="2" spans="1:9" ht="15.5">
      <c r="A2" s="778" t="s">
        <v>284</v>
      </c>
      <c r="B2" s="778" t="s">
        <v>285</v>
      </c>
      <c r="C2" s="779" t="s">
        <v>286</v>
      </c>
      <c r="D2" s="778" t="s">
        <v>8</v>
      </c>
      <c r="E2" s="778" t="s">
        <v>287</v>
      </c>
    </row>
    <row r="4" spans="1:9">
      <c r="A4" s="780"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780" t="s">
        <v>295</v>
      </c>
    </row>
    <row r="14" spans="1:9">
      <c r="A14" s="780" t="s">
        <v>296</v>
      </c>
    </row>
    <row r="16" spans="1:9">
      <c r="A16" t="s">
        <v>297</v>
      </c>
      <c r="D16" t="s">
        <v>298</v>
      </c>
    </row>
    <row r="19" spans="1:1">
      <c r="A19" t="s">
        <v>299</v>
      </c>
    </row>
    <row r="22" spans="1:1">
      <c r="A22" t="s">
        <v>300</v>
      </c>
    </row>
    <row r="37" spans="1:3">
      <c r="A37" s="780" t="s">
        <v>301</v>
      </c>
      <c r="C37" s="777"/>
    </row>
    <row r="38" spans="1:3">
      <c r="A38" t="s">
        <v>302</v>
      </c>
      <c r="B38">
        <v>31</v>
      </c>
      <c r="C38" s="782"/>
    </row>
    <row r="39" spans="1:3">
      <c r="A39" t="s">
        <v>303</v>
      </c>
      <c r="B39">
        <v>3</v>
      </c>
      <c r="C39" s="782"/>
    </row>
    <row r="41" spans="1:3">
      <c r="A41" s="780"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780"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780" t="s">
        <v>321</v>
      </c>
    </row>
    <row r="61" spans="1:2">
      <c r="A61" t="s">
        <v>322</v>
      </c>
      <c r="B61">
        <v>800</v>
      </c>
    </row>
    <row r="62" spans="1:2">
      <c r="A62" t="s">
        <v>323</v>
      </c>
      <c r="B62">
        <v>600</v>
      </c>
    </row>
    <row r="63" spans="1:2">
      <c r="A63" t="s">
        <v>324</v>
      </c>
      <c r="B63">
        <v>800</v>
      </c>
    </row>
    <row r="65" spans="1:1">
      <c r="A65" s="780" t="s">
        <v>325</v>
      </c>
    </row>
    <row r="69" spans="1:1">
      <c r="A69" s="780" t="s">
        <v>326</v>
      </c>
    </row>
    <row r="75" spans="1:1">
      <c r="A75" s="780" t="s">
        <v>327</v>
      </c>
    </row>
    <row r="80" spans="1:1">
      <c r="A80" s="780" t="s">
        <v>328</v>
      </c>
    </row>
    <row r="81" spans="1:1">
      <c r="A81" s="780"/>
    </row>
    <row r="95" spans="1:1">
      <c r="A95" s="78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topLeftCell="A12"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-Security Fencing and Alarms CC</v>
      </c>
    </row>
    <row r="2" spans="2:28">
      <c r="M2" s="827"/>
    </row>
    <row r="3" spans="2:28">
      <c r="B3" s="828" t="s">
        <v>330</v>
      </c>
      <c r="C3" s="829" t="s">
        <v>331</v>
      </c>
      <c r="D3" s="830"/>
      <c r="E3" s="831"/>
      <c r="F3" s="831"/>
      <c r="G3" s="831"/>
      <c r="H3" s="831"/>
      <c r="I3" s="831"/>
      <c r="J3" s="831"/>
    </row>
    <row r="4" spans="2:28">
      <c r="B4" s="828" t="s">
        <v>332</v>
      </c>
      <c r="C4" s="830" t="s">
        <v>333</v>
      </c>
      <c r="D4" s="831"/>
      <c r="E4" s="831"/>
      <c r="F4" s="831"/>
      <c r="G4" s="831"/>
      <c r="H4" s="831"/>
      <c r="I4" s="831"/>
      <c r="J4" s="831"/>
    </row>
    <row r="5" spans="2:28">
      <c r="B5" s="828" t="s">
        <v>334</v>
      </c>
      <c r="C5" s="830" t="s">
        <v>335</v>
      </c>
      <c r="D5" s="831"/>
      <c r="E5" s="831"/>
      <c r="F5" s="831"/>
      <c r="G5" s="831"/>
      <c r="H5" s="831"/>
      <c r="I5" s="831"/>
      <c r="J5" s="831"/>
    </row>
    <row r="6" spans="2:28">
      <c r="B6" s="828"/>
      <c r="C6" s="830" t="s">
        <v>336</v>
      </c>
      <c r="D6" s="831"/>
      <c r="E6" s="831"/>
      <c r="F6" s="831"/>
      <c r="G6" s="831"/>
      <c r="H6" s="831"/>
      <c r="I6" s="831"/>
      <c r="J6" s="831"/>
    </row>
    <row r="7" spans="2:28">
      <c r="B7" s="828" t="s">
        <v>337</v>
      </c>
      <c r="C7" s="830" t="s">
        <v>338</v>
      </c>
      <c r="D7" s="831"/>
      <c r="E7" s="831"/>
      <c r="F7" s="831"/>
      <c r="G7" s="831"/>
      <c r="H7" s="831"/>
      <c r="I7" s="831"/>
      <c r="J7" s="831"/>
    </row>
    <row r="8" spans="2:28">
      <c r="B8" s="828" t="s">
        <v>339</v>
      </c>
      <c r="C8" s="832">
        <v>4950256638</v>
      </c>
      <c r="D8" s="831"/>
      <c r="E8" s="831"/>
      <c r="F8" s="831"/>
      <c r="G8" s="831"/>
      <c r="H8" s="831"/>
      <c r="I8" s="831"/>
      <c r="J8" s="831"/>
    </row>
    <row r="9" spans="2:28">
      <c r="B9" s="828"/>
      <c r="C9" s="830"/>
      <c r="D9" s="831"/>
      <c r="E9" s="831"/>
      <c r="F9" s="831"/>
      <c r="G9" s="831"/>
      <c r="H9" s="831"/>
      <c r="I9" s="831"/>
      <c r="J9" s="831"/>
    </row>
    <row r="10" spans="2:28" ht="15" customHeight="1">
      <c r="B10" s="989" t="s">
        <v>340</v>
      </c>
      <c r="C10" s="989"/>
      <c r="D10" s="989"/>
      <c r="E10" s="989"/>
      <c r="F10" s="989"/>
      <c r="G10" s="989"/>
      <c r="H10" s="989"/>
      <c r="I10" s="989"/>
      <c r="J10" s="831"/>
      <c r="AB10" s="833"/>
    </row>
    <row r="11" spans="2:28" ht="15" customHeight="1">
      <c r="B11" s="989"/>
      <c r="C11" s="989"/>
      <c r="D11" s="989"/>
      <c r="E11" s="989"/>
      <c r="F11" s="989"/>
      <c r="G11" s="989"/>
      <c r="H11" s="989"/>
      <c r="I11" s="989"/>
      <c r="J11" s="831"/>
      <c r="AB11" s="833"/>
    </row>
    <row r="12" spans="2:28" ht="15" customHeight="1">
      <c r="B12" s="834" t="s">
        <v>341</v>
      </c>
      <c r="C12" s="990" t="s">
        <v>342</v>
      </c>
      <c r="D12" s="990"/>
      <c r="E12" s="990"/>
      <c r="F12" s="990"/>
      <c r="G12" s="831"/>
      <c r="H12" s="834" t="s">
        <v>343</v>
      </c>
      <c r="I12" s="836">
        <f ca="1">TODAY()</f>
        <v>46078</v>
      </c>
      <c r="J12" s="831"/>
      <c r="AB12" s="833"/>
    </row>
    <row r="13" spans="2:28" ht="15" customHeight="1">
      <c r="B13" s="834" t="s">
        <v>339</v>
      </c>
      <c r="C13" s="991">
        <f>VLOOKUP($C$12,[1]Database!$A:$F,2,FALSE)</f>
        <v>4730114826</v>
      </c>
      <c r="D13" s="991"/>
      <c r="E13" s="991"/>
      <c r="F13" s="991"/>
      <c r="G13" s="831"/>
      <c r="H13" s="834" t="s">
        <v>344</v>
      </c>
      <c r="I13" s="837" t="str">
        <f>'Project Plan'!J2</f>
        <v>Mondi</v>
      </c>
      <c r="J13" s="831"/>
      <c r="AB13" s="833"/>
    </row>
    <row r="14" spans="2:28" ht="15" customHeight="1">
      <c r="B14" s="834" t="s">
        <v>345</v>
      </c>
      <c r="C14" s="991" t="str">
        <f>VLOOKUP($C$12,[1]Database!$A:$F,3,FALSE)</f>
        <v>94 Alumina Alee</v>
      </c>
      <c r="D14" s="991"/>
      <c r="E14" s="991"/>
      <c r="F14" s="991"/>
      <c r="G14" s="831"/>
      <c r="H14" s="834" t="s">
        <v>346</v>
      </c>
      <c r="I14" s="838"/>
      <c r="J14" s="831"/>
      <c r="AB14" s="833"/>
    </row>
    <row r="15" spans="2:28" ht="15" customHeight="1">
      <c r="B15" s="834"/>
      <c r="C15" s="991" t="str">
        <f>VLOOKUP($C$12,[1]Database!$A:$F,4,FALSE)</f>
        <v>Alton, Richards Bay</v>
      </c>
      <c r="D15" s="991"/>
      <c r="E15" s="991"/>
      <c r="F15" s="991"/>
      <c r="G15" s="831"/>
      <c r="J15" s="831"/>
      <c r="AB15" s="833"/>
    </row>
    <row r="16" spans="2:28" ht="15" customHeight="1">
      <c r="B16" s="834" t="s">
        <v>347</v>
      </c>
      <c r="C16" s="991" t="str">
        <f>VLOOKUP($C$12,[1]Database!$A:$F,5,FALSE)&amp;" "&amp;VLOOKUP($C$12,[1]Database!$A:$F,6,FALSE)</f>
        <v>Neville Loosemore 035 751 1384</v>
      </c>
      <c r="D16" s="991"/>
      <c r="E16" s="991"/>
      <c r="F16" s="99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348</v>
      </c>
      <c r="C18" s="992" t="s">
        <v>284</v>
      </c>
      <c r="D18" s="992"/>
      <c r="E18" s="841" t="s">
        <v>349</v>
      </c>
      <c r="F18" s="840" t="s">
        <v>285</v>
      </c>
      <c r="G18" s="840" t="s">
        <v>350</v>
      </c>
      <c r="H18" s="839" t="s">
        <v>351</v>
      </c>
      <c r="I18" s="840" t="s">
        <v>352</v>
      </c>
      <c r="J18" s="831"/>
      <c r="AB18" s="833"/>
    </row>
    <row r="19" spans="2:28" ht="30.75" customHeight="1">
      <c r="B19" s="842">
        <v>1</v>
      </c>
      <c r="C19" s="988"/>
      <c r="D19" s="988"/>
      <c r="E19" s="843"/>
      <c r="F19" s="842"/>
      <c r="G19" s="842"/>
      <c r="H19" s="844"/>
      <c r="I19" s="844">
        <f>H19*F19</f>
        <v>0</v>
      </c>
      <c r="J19" s="831"/>
      <c r="AB19" s="833"/>
    </row>
    <row r="20" spans="2:28" ht="30.75" customHeight="1">
      <c r="B20" s="842">
        <v>2</v>
      </c>
      <c r="C20" s="988"/>
      <c r="D20" s="988"/>
      <c r="E20" s="843"/>
      <c r="F20" s="842"/>
      <c r="G20" s="842"/>
      <c r="H20" s="844"/>
      <c r="I20" s="844">
        <f t="shared" ref="I20:I27" si="0">H20*F20</f>
        <v>0</v>
      </c>
      <c r="J20" s="831"/>
      <c r="AB20" s="833"/>
    </row>
    <row r="21" spans="2:28" ht="30.75" customHeight="1">
      <c r="B21" s="842">
        <v>3</v>
      </c>
      <c r="C21" s="988"/>
      <c r="D21" s="988"/>
      <c r="E21" s="843"/>
      <c r="F21" s="842"/>
      <c r="G21" s="842"/>
      <c r="H21" s="844"/>
      <c r="I21" s="844">
        <f t="shared" si="0"/>
        <v>0</v>
      </c>
      <c r="J21" s="831"/>
      <c r="AB21" s="833"/>
    </row>
    <row r="22" spans="2:28" ht="30.75" customHeight="1">
      <c r="B22" s="842">
        <v>4</v>
      </c>
      <c r="C22" s="988"/>
      <c r="D22" s="988"/>
      <c r="E22" s="843"/>
      <c r="F22" s="842"/>
      <c r="G22" s="842"/>
      <c r="H22" s="844"/>
      <c r="I22" s="844">
        <f t="shared" si="0"/>
        <v>0</v>
      </c>
      <c r="J22" s="831"/>
      <c r="AB22" s="833"/>
    </row>
    <row r="23" spans="2:28" ht="30.75" customHeight="1">
      <c r="B23" s="842">
        <v>5</v>
      </c>
      <c r="C23" s="988"/>
      <c r="D23" s="988"/>
      <c r="E23" s="843"/>
      <c r="F23" s="842"/>
      <c r="G23" s="842"/>
      <c r="H23" s="844"/>
      <c r="I23" s="844">
        <f t="shared" si="0"/>
        <v>0</v>
      </c>
      <c r="J23" s="831"/>
      <c r="AB23" s="833"/>
    </row>
    <row r="24" spans="2:28" ht="30.75" customHeight="1">
      <c r="B24" s="842">
        <v>6</v>
      </c>
      <c r="C24" s="988"/>
      <c r="D24" s="988"/>
      <c r="E24" s="843"/>
      <c r="F24" s="842"/>
      <c r="G24" s="842"/>
      <c r="H24" s="844"/>
      <c r="I24" s="844">
        <f t="shared" si="0"/>
        <v>0</v>
      </c>
      <c r="J24" s="831"/>
      <c r="AB24" s="833"/>
    </row>
    <row r="25" spans="2:28" ht="30.75" customHeight="1">
      <c r="B25" s="842">
        <v>7</v>
      </c>
      <c r="C25" s="988"/>
      <c r="D25" s="988"/>
      <c r="E25" s="843"/>
      <c r="F25" s="842"/>
      <c r="G25" s="842"/>
      <c r="H25" s="844"/>
      <c r="I25" s="844">
        <f t="shared" si="0"/>
        <v>0</v>
      </c>
      <c r="J25" s="831"/>
      <c r="AB25" s="833"/>
    </row>
    <row r="26" spans="2:28" ht="30.75" customHeight="1">
      <c r="B26" s="842">
        <v>8</v>
      </c>
      <c r="C26" s="988"/>
      <c r="D26" s="988"/>
      <c r="E26" s="843"/>
      <c r="F26" s="842"/>
      <c r="G26" s="842"/>
      <c r="H26" s="844"/>
      <c r="I26" s="844">
        <f t="shared" si="0"/>
        <v>0</v>
      </c>
      <c r="J26" s="831"/>
      <c r="AB26" s="833"/>
    </row>
    <row r="27" spans="2:28" ht="30.75" customHeight="1">
      <c r="B27" s="842">
        <v>9</v>
      </c>
      <c r="C27" s="988"/>
      <c r="D27" s="988"/>
      <c r="E27" s="843"/>
      <c r="F27" s="842"/>
      <c r="G27" s="842"/>
      <c r="H27" s="844"/>
      <c r="I27" s="844">
        <f t="shared" si="0"/>
        <v>0</v>
      </c>
      <c r="J27" s="831"/>
      <c r="AB27" s="833"/>
    </row>
    <row r="28" spans="2:28" ht="15" customHeight="1">
      <c r="B28" s="831"/>
      <c r="C28" s="831"/>
      <c r="D28" s="831"/>
      <c r="E28" s="831"/>
      <c r="F28" s="831"/>
      <c r="G28" s="831"/>
      <c r="H28" s="845" t="s">
        <v>353</v>
      </c>
      <c r="I28" s="846">
        <f>SUM(I19:I27)</f>
        <v>0</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354</v>
      </c>
      <c r="I29" s="846">
        <f>I28*0.15</f>
        <v>0</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355</v>
      </c>
      <c r="I30" s="846">
        <f>I29+I28</f>
        <v>0</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93" t="s">
        <v>356</v>
      </c>
      <c r="C33" s="993"/>
      <c r="D33" s="994" t="s">
        <v>357</v>
      </c>
      <c r="E33" s="995"/>
      <c r="F33" s="995"/>
      <c r="G33" s="995"/>
      <c r="H33" s="995"/>
      <c r="I33" s="995"/>
      <c r="J33" s="831"/>
    </row>
    <row r="34" spans="2:10">
      <c r="B34" s="993"/>
      <c r="C34" s="993"/>
      <c r="D34" s="995"/>
      <c r="E34" s="995"/>
      <c r="F34" s="995"/>
      <c r="G34" s="995"/>
      <c r="H34" s="995"/>
      <c r="I34" s="995"/>
      <c r="J34" s="831"/>
    </row>
    <row r="35" spans="2:10">
      <c r="B35" s="993"/>
      <c r="C35" s="993"/>
      <c r="D35" s="995"/>
      <c r="E35" s="995"/>
      <c r="F35" s="995"/>
      <c r="G35" s="995"/>
      <c r="H35" s="995"/>
      <c r="I35" s="995"/>
      <c r="J35" s="831"/>
    </row>
    <row r="36" spans="2:10">
      <c r="B36" s="993"/>
      <c r="C36" s="993"/>
      <c r="D36" s="995"/>
      <c r="E36" s="995"/>
      <c r="F36" s="995"/>
      <c r="G36" s="995"/>
      <c r="H36" s="995"/>
      <c r="I36" s="995"/>
      <c r="J36" s="831"/>
    </row>
    <row r="37" spans="2:10">
      <c r="B37" s="847"/>
      <c r="C37" s="847"/>
      <c r="D37" s="831"/>
      <c r="E37" s="831"/>
      <c r="F37" s="831"/>
      <c r="G37" s="831"/>
      <c r="H37" s="831"/>
      <c r="I37" s="831"/>
      <c r="J37" s="831"/>
    </row>
    <row r="38" spans="2:10">
      <c r="B38" s="993" t="s">
        <v>358</v>
      </c>
      <c r="C38" s="993"/>
      <c r="D38" s="994" t="s">
        <v>359</v>
      </c>
      <c r="E38" s="995"/>
      <c r="F38" s="995"/>
      <c r="G38" s="995"/>
      <c r="H38" s="995"/>
      <c r="I38" s="995"/>
      <c r="J38" s="831"/>
    </row>
    <row r="39" spans="2:10">
      <c r="B39" s="993"/>
      <c r="C39" s="993"/>
      <c r="D39" s="995"/>
      <c r="E39" s="995"/>
      <c r="F39" s="995"/>
      <c r="G39" s="995"/>
      <c r="H39" s="995"/>
      <c r="I39" s="995"/>
      <c r="J39" s="831"/>
    </row>
    <row r="40" spans="2:10">
      <c r="B40" s="993"/>
      <c r="C40" s="993"/>
      <c r="D40" s="995"/>
      <c r="E40" s="995"/>
      <c r="F40" s="995"/>
      <c r="G40" s="995"/>
      <c r="H40" s="995"/>
      <c r="I40" s="995"/>
      <c r="J40" s="831"/>
    </row>
    <row r="41" spans="2:10">
      <c r="B41" s="847"/>
      <c r="C41" s="847"/>
      <c r="D41" s="831"/>
      <c r="E41" s="831"/>
      <c r="F41" s="831"/>
      <c r="G41" s="831"/>
      <c r="H41" s="831"/>
      <c r="I41" s="831"/>
      <c r="J41" s="831"/>
    </row>
    <row r="42" spans="2:10">
      <c r="B42" s="993" t="s">
        <v>8</v>
      </c>
      <c r="C42" s="993"/>
      <c r="D42" s="994" t="s">
        <v>360</v>
      </c>
      <c r="E42" s="995"/>
      <c r="F42" s="995"/>
      <c r="G42" s="995"/>
      <c r="H42" s="995"/>
      <c r="I42" s="995"/>
      <c r="J42" s="831"/>
    </row>
    <row r="43" spans="2:10">
      <c r="B43" s="993"/>
      <c r="C43" s="993"/>
      <c r="D43" s="995"/>
      <c r="E43" s="995"/>
      <c r="F43" s="995"/>
      <c r="G43" s="995"/>
      <c r="H43" s="995"/>
      <c r="I43" s="995"/>
      <c r="J43" s="831"/>
    </row>
    <row r="44" spans="2:10">
      <c r="B44" s="993"/>
      <c r="C44" s="993"/>
      <c r="D44" s="995"/>
      <c r="E44" s="995"/>
      <c r="F44" s="995"/>
      <c r="G44" s="995"/>
      <c r="H44" s="995"/>
      <c r="I44" s="995"/>
      <c r="J44" s="831"/>
    </row>
    <row r="45" spans="2:10">
      <c r="B45" s="831"/>
      <c r="C45" s="831"/>
      <c r="D45" s="831"/>
      <c r="E45" s="831"/>
      <c r="F45" s="831"/>
      <c r="G45" s="831"/>
      <c r="H45" s="831"/>
      <c r="I45" s="831"/>
      <c r="J45" s="831"/>
    </row>
    <row r="46" spans="2:10" ht="15">
      <c r="B46" s="848" t="s">
        <v>361</v>
      </c>
      <c r="C46" s="848"/>
      <c r="D46" s="835" t="s">
        <v>362</v>
      </c>
      <c r="E46" s="849"/>
      <c r="F46" s="850"/>
      <c r="G46" s="850"/>
      <c r="H46" s="851"/>
      <c r="I46" s="836">
        <f ca="1">TODAY()</f>
        <v>46078</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topLeftCell="A69" workbookViewId="0">
      <selection activeCell="A83" sqref="A83:G95"/>
    </sheetView>
  </sheetViews>
  <sheetFormatPr defaultRowHeight="14.5"/>
  <cols>
    <col min="1" max="1" width="49.54296875" customWidth="1"/>
    <col min="2" max="2" width="13.54296875" customWidth="1"/>
    <col min="3" max="3" width="13.90625" bestFit="1" customWidth="1"/>
    <col min="4" max="4" width="13.90625" customWidth="1"/>
    <col min="5" max="5" width="12.54296875" customWidth="1"/>
    <col min="6" max="6" width="13.90625" customWidth="1"/>
    <col min="7" max="7" width="18.08984375" customWidth="1"/>
    <col min="8" max="8" width="16.6328125" customWidth="1"/>
    <col min="9" max="9" width="14.6328125" bestFit="1" customWidth="1"/>
  </cols>
  <sheetData>
    <row r="1" spans="1:9" ht="21">
      <c r="A1" s="996" t="s">
        <v>363</v>
      </c>
      <c r="B1" s="996"/>
      <c r="C1" s="996"/>
      <c r="D1" s="996"/>
      <c r="E1" s="996"/>
      <c r="F1" s="996"/>
      <c r="G1" s="996"/>
    </row>
    <row r="2" spans="1:9" ht="15.5">
      <c r="A2" s="778" t="s">
        <v>284</v>
      </c>
      <c r="B2" s="778" t="s">
        <v>285</v>
      </c>
      <c r="C2" s="778" t="s">
        <v>364</v>
      </c>
      <c r="D2" s="778" t="s">
        <v>365</v>
      </c>
      <c r="E2" s="778" t="s">
        <v>366</v>
      </c>
      <c r="F2" s="778" t="s">
        <v>367</v>
      </c>
      <c r="G2" s="778" t="s">
        <v>8</v>
      </c>
      <c r="H2" s="778" t="s">
        <v>287</v>
      </c>
    </row>
    <row r="3" spans="1:9" ht="15.5">
      <c r="A3" s="778"/>
      <c r="B3" s="778"/>
      <c r="C3" s="778" t="s">
        <v>368</v>
      </c>
      <c r="D3" s="778" t="s">
        <v>369</v>
      </c>
      <c r="E3" s="778" t="s">
        <v>369</v>
      </c>
      <c r="F3" s="778" t="s">
        <v>369</v>
      </c>
      <c r="G3" s="778"/>
    </row>
    <row r="4" spans="1:9">
      <c r="A4" s="780" t="s">
        <v>288</v>
      </c>
      <c r="H4" t="s">
        <v>370</v>
      </c>
    </row>
    <row r="5" spans="1:9">
      <c r="A5" t="s">
        <v>289</v>
      </c>
      <c r="B5" s="791">
        <v>22114</v>
      </c>
      <c r="C5" s="777">
        <v>1.99</v>
      </c>
      <c r="D5" s="777">
        <v>2.0499999999999998</v>
      </c>
      <c r="E5" s="777"/>
      <c r="F5" s="797">
        <v>620</v>
      </c>
      <c r="G5" t="s">
        <v>371</v>
      </c>
      <c r="H5" t="s">
        <v>372</v>
      </c>
      <c r="I5" s="797"/>
    </row>
    <row r="6" spans="1:9">
      <c r="A6" t="s">
        <v>373</v>
      </c>
      <c r="B6" s="791">
        <v>3000</v>
      </c>
      <c r="C6" s="777">
        <v>13.5</v>
      </c>
      <c r="D6" s="777">
        <v>14.52</v>
      </c>
      <c r="E6" s="777">
        <v>13.8</v>
      </c>
      <c r="F6" s="777"/>
      <c r="H6" t="s">
        <v>374</v>
      </c>
    </row>
    <row r="7" spans="1:9">
      <c r="A7" t="s">
        <v>375</v>
      </c>
      <c r="B7" s="791">
        <v>3000</v>
      </c>
      <c r="C7" s="777">
        <v>13.5</v>
      </c>
      <c r="D7" s="777">
        <v>14.52</v>
      </c>
      <c r="E7" s="777">
        <v>13.8</v>
      </c>
      <c r="F7" s="777"/>
    </row>
    <row r="8" spans="1:9">
      <c r="A8" t="s">
        <v>376</v>
      </c>
      <c r="B8" s="791">
        <f>26000+33000</f>
        <v>59000</v>
      </c>
      <c r="C8" s="777">
        <v>13.5</v>
      </c>
      <c r="D8" s="777">
        <v>14.52</v>
      </c>
      <c r="E8" s="777">
        <v>13.8</v>
      </c>
      <c r="F8" s="777"/>
    </row>
    <row r="9" spans="1:9">
      <c r="A9" t="s">
        <v>377</v>
      </c>
      <c r="B9" s="791">
        <f>26000+33000</f>
        <v>59000</v>
      </c>
      <c r="C9" s="777">
        <v>13.5</v>
      </c>
      <c r="D9" s="777">
        <v>14.52</v>
      </c>
      <c r="E9" s="777">
        <v>13.8</v>
      </c>
      <c r="F9" s="777"/>
    </row>
    <row r="10" spans="1:9">
      <c r="A10" t="s">
        <v>378</v>
      </c>
      <c r="B10" s="791">
        <v>148000</v>
      </c>
      <c r="C10" s="777">
        <v>13.5</v>
      </c>
      <c r="D10" s="777">
        <v>14.52</v>
      </c>
      <c r="E10" s="777">
        <v>13.8</v>
      </c>
      <c r="F10" s="777"/>
    </row>
    <row r="11" spans="1:9">
      <c r="A11" t="s">
        <v>379</v>
      </c>
      <c r="B11" s="791">
        <v>148000</v>
      </c>
      <c r="C11" s="777">
        <v>13.5</v>
      </c>
      <c r="D11" s="777">
        <v>14.52</v>
      </c>
      <c r="E11" s="777">
        <v>13.8</v>
      </c>
      <c r="F11" s="777"/>
    </row>
    <row r="12" spans="1:9">
      <c r="A12" t="s">
        <v>292</v>
      </c>
      <c r="B12" s="791">
        <v>1000</v>
      </c>
      <c r="C12" s="777">
        <v>27.45</v>
      </c>
      <c r="D12" s="777">
        <v>15.89</v>
      </c>
      <c r="E12" s="777">
        <v>10.5</v>
      </c>
      <c r="F12" s="777"/>
    </row>
    <row r="13" spans="1:9">
      <c r="A13" t="s">
        <v>293</v>
      </c>
      <c r="B13" s="791">
        <v>1000</v>
      </c>
      <c r="C13" s="777">
        <v>35.78</v>
      </c>
      <c r="D13" s="777">
        <v>20.99</v>
      </c>
      <c r="E13" s="777">
        <v>10.5</v>
      </c>
      <c r="F13" s="777"/>
    </row>
    <row r="14" spans="1:9">
      <c r="A14" t="s">
        <v>294</v>
      </c>
      <c r="B14" s="791">
        <v>436</v>
      </c>
      <c r="C14" s="777">
        <v>1.99</v>
      </c>
      <c r="D14" s="777">
        <v>2.0499999999999998</v>
      </c>
      <c r="E14" s="777"/>
      <c r="F14" s="777"/>
    </row>
    <row r="15" spans="1:9">
      <c r="A15" t="s">
        <v>380</v>
      </c>
      <c r="B15" s="791">
        <f>612+402+(34*12)+645</f>
        <v>2067</v>
      </c>
      <c r="C15" s="777"/>
      <c r="D15" s="777"/>
      <c r="E15" s="777"/>
      <c r="F15" s="777"/>
    </row>
    <row r="16" spans="1:9">
      <c r="A16" t="s">
        <v>381</v>
      </c>
      <c r="B16" s="791">
        <f>1243+90</f>
        <v>1333</v>
      </c>
      <c r="C16" s="777"/>
      <c r="D16" s="777"/>
      <c r="E16" s="777"/>
      <c r="F16" s="777"/>
    </row>
    <row r="17" spans="1:9">
      <c r="A17" t="s">
        <v>382</v>
      </c>
      <c r="B17" s="791">
        <f>116+791</f>
        <v>907</v>
      </c>
      <c r="C17" s="777"/>
      <c r="D17" s="777"/>
      <c r="E17" s="777"/>
      <c r="F17" s="777"/>
    </row>
    <row r="18" spans="1:9">
      <c r="A18" t="s">
        <v>383</v>
      </c>
      <c r="B18" s="791">
        <f>165+178+56+16</f>
        <v>415</v>
      </c>
      <c r="C18" s="777"/>
      <c r="D18" s="777"/>
      <c r="E18" s="777"/>
      <c r="F18" s="777"/>
    </row>
    <row r="19" spans="1:9">
      <c r="A19" t="s">
        <v>384</v>
      </c>
      <c r="B19" s="791">
        <f>65</f>
        <v>65</v>
      </c>
      <c r="C19" s="777"/>
      <c r="D19" s="777"/>
      <c r="E19" s="777"/>
      <c r="F19" s="777"/>
    </row>
    <row r="20" spans="1:9">
      <c r="A20" t="s">
        <v>385</v>
      </c>
      <c r="B20" s="791">
        <f>130</f>
        <v>130</v>
      </c>
      <c r="C20" s="777"/>
      <c r="D20" s="777"/>
      <c r="E20" s="777"/>
      <c r="F20" s="777"/>
    </row>
    <row r="21" spans="1:9">
      <c r="A21" t="s">
        <v>386</v>
      </c>
      <c r="B21" s="791">
        <v>11</v>
      </c>
      <c r="C21" s="777"/>
      <c r="D21" s="777"/>
      <c r="E21" s="777"/>
      <c r="F21" s="777"/>
    </row>
    <row r="22" spans="1:9">
      <c r="A22" t="s">
        <v>387</v>
      </c>
      <c r="B22" s="791">
        <v>6</v>
      </c>
      <c r="C22" s="777"/>
      <c r="D22" s="777"/>
      <c r="E22" s="777"/>
      <c r="F22" s="777"/>
    </row>
    <row r="23" spans="1:9">
      <c r="C23" s="777"/>
      <c r="D23" s="777"/>
      <c r="E23" s="777"/>
      <c r="F23" s="777"/>
    </row>
    <row r="24" spans="1:9">
      <c r="A24" s="780" t="s">
        <v>388</v>
      </c>
      <c r="C24" s="777"/>
      <c r="D24" s="777"/>
      <c r="E24" s="777"/>
      <c r="F24" s="777"/>
    </row>
    <row r="25" spans="1:9">
      <c r="A25" s="780" t="s">
        <v>389</v>
      </c>
      <c r="C25" s="777"/>
      <c r="D25" s="777"/>
      <c r="E25" s="777"/>
      <c r="F25" s="777"/>
    </row>
    <row r="26" spans="1:9">
      <c r="A26" t="s">
        <v>390</v>
      </c>
      <c r="B26" t="s">
        <v>391</v>
      </c>
      <c r="C26" s="777"/>
      <c r="D26" s="777"/>
      <c r="E26" s="777"/>
      <c r="F26" s="777"/>
      <c r="G26" t="s">
        <v>392</v>
      </c>
      <c r="H26" s="997" t="s">
        <v>393</v>
      </c>
    </row>
    <row r="27" spans="1:9">
      <c r="A27" t="s">
        <v>394</v>
      </c>
      <c r="B27" t="s">
        <v>391</v>
      </c>
      <c r="C27" s="777"/>
      <c r="D27" s="777"/>
      <c r="E27" s="777"/>
      <c r="F27" s="777"/>
      <c r="G27" t="s">
        <v>392</v>
      </c>
      <c r="H27" s="997"/>
    </row>
    <row r="28" spans="1:9">
      <c r="A28" t="s">
        <v>395</v>
      </c>
      <c r="B28" t="s">
        <v>391</v>
      </c>
      <c r="C28" s="777"/>
      <c r="D28" s="777"/>
      <c r="E28" s="777"/>
      <c r="F28" s="777"/>
      <c r="G28" t="s">
        <v>392</v>
      </c>
      <c r="H28" s="997"/>
    </row>
    <row r="29" spans="1:9">
      <c r="A29" t="s">
        <v>396</v>
      </c>
      <c r="B29" t="s">
        <v>391</v>
      </c>
      <c r="C29" s="777"/>
      <c r="D29" s="777"/>
      <c r="E29" s="777"/>
      <c r="F29" s="777"/>
      <c r="G29" t="s">
        <v>392</v>
      </c>
      <c r="H29" s="997"/>
    </row>
    <row r="30" spans="1:9">
      <c r="A30" t="s">
        <v>397</v>
      </c>
      <c r="B30" t="s">
        <v>391</v>
      </c>
      <c r="C30" s="777"/>
      <c r="D30" s="777"/>
      <c r="E30" s="777"/>
      <c r="F30" s="777"/>
      <c r="G30" t="s">
        <v>392</v>
      </c>
      <c r="H30" s="997"/>
    </row>
    <row r="31" spans="1:9">
      <c r="A31" t="s">
        <v>398</v>
      </c>
      <c r="B31" t="s">
        <v>391</v>
      </c>
      <c r="C31" s="777"/>
      <c r="D31" s="777"/>
      <c r="E31" s="777"/>
      <c r="F31" s="777"/>
      <c r="G31" t="s">
        <v>392</v>
      </c>
      <c r="H31" s="997"/>
    </row>
    <row r="32" spans="1:9">
      <c r="A32" s="780" t="s">
        <v>399</v>
      </c>
      <c r="C32" s="777"/>
      <c r="D32" s="777"/>
      <c r="E32" s="777"/>
      <c r="F32" s="777"/>
      <c r="H32" s="997"/>
      <c r="I32" t="s">
        <v>400</v>
      </c>
    </row>
    <row r="33" spans="1:9">
      <c r="A33" t="s">
        <v>401</v>
      </c>
      <c r="B33" t="s">
        <v>391</v>
      </c>
      <c r="C33" s="777"/>
      <c r="D33" s="777"/>
      <c r="E33" s="777"/>
      <c r="F33" s="777"/>
      <c r="G33" t="s">
        <v>392</v>
      </c>
      <c r="H33" s="997"/>
      <c r="I33" t="s">
        <v>402</v>
      </c>
    </row>
    <row r="34" spans="1:9">
      <c r="A34" t="s">
        <v>403</v>
      </c>
      <c r="B34" t="s">
        <v>391</v>
      </c>
      <c r="C34" s="777"/>
      <c r="D34" s="777"/>
      <c r="E34" s="777"/>
      <c r="F34" s="777"/>
      <c r="G34" t="s">
        <v>392</v>
      </c>
      <c r="H34" s="997"/>
      <c r="I34" t="s">
        <v>404</v>
      </c>
    </row>
    <row r="35" spans="1:9">
      <c r="A35" t="s">
        <v>397</v>
      </c>
      <c r="B35" t="s">
        <v>391</v>
      </c>
      <c r="C35" s="777"/>
      <c r="D35" s="777"/>
      <c r="E35" s="777"/>
      <c r="F35" s="777"/>
      <c r="G35" t="s">
        <v>392</v>
      </c>
      <c r="H35" s="997"/>
    </row>
    <row r="36" spans="1:9">
      <c r="A36" t="s">
        <v>398</v>
      </c>
      <c r="B36" t="s">
        <v>391</v>
      </c>
      <c r="C36" s="777"/>
      <c r="D36" s="777"/>
      <c r="E36" s="777"/>
      <c r="F36" s="777"/>
      <c r="G36" t="s">
        <v>392</v>
      </c>
      <c r="H36" s="997"/>
    </row>
    <row r="37" spans="1:9">
      <c r="A37" t="s">
        <v>405</v>
      </c>
      <c r="B37" t="s">
        <v>391</v>
      </c>
      <c r="C37" s="777"/>
      <c r="D37" s="777"/>
      <c r="E37" s="777"/>
      <c r="F37" s="777"/>
      <c r="G37" t="s">
        <v>392</v>
      </c>
      <c r="H37" s="997"/>
    </row>
    <row r="38" spans="1:9">
      <c r="A38" t="s">
        <v>406</v>
      </c>
      <c r="B38" t="s">
        <v>391</v>
      </c>
      <c r="C38" s="777"/>
      <c r="D38" s="777"/>
      <c r="E38" s="777"/>
      <c r="F38" s="777"/>
      <c r="G38" t="s">
        <v>392</v>
      </c>
      <c r="H38" s="997"/>
    </row>
    <row r="39" spans="1:9">
      <c r="A39" t="s">
        <v>407</v>
      </c>
      <c r="B39" t="s">
        <v>391</v>
      </c>
      <c r="C39" s="777"/>
      <c r="D39" s="777"/>
      <c r="E39" s="777"/>
      <c r="F39" s="777"/>
      <c r="G39" t="s">
        <v>392</v>
      </c>
      <c r="H39" s="997"/>
    </row>
    <row r="40" spans="1:9">
      <c r="A40" s="780" t="s">
        <v>408</v>
      </c>
      <c r="C40" s="777"/>
      <c r="D40" s="777"/>
      <c r="E40" s="777"/>
      <c r="F40" s="777"/>
      <c r="H40" s="997"/>
    </row>
    <row r="41" spans="1:9">
      <c r="A41" t="s">
        <v>409</v>
      </c>
      <c r="B41">
        <v>2</v>
      </c>
      <c r="C41" s="777"/>
      <c r="D41" s="777"/>
      <c r="E41" s="777"/>
      <c r="F41" s="777"/>
      <c r="G41" t="s">
        <v>392</v>
      </c>
      <c r="H41" s="997"/>
      <c r="I41" t="s">
        <v>410</v>
      </c>
    </row>
    <row r="42" spans="1:9">
      <c r="C42" s="777"/>
      <c r="D42" s="777"/>
      <c r="E42" s="777"/>
      <c r="F42" s="777"/>
    </row>
    <row r="43" spans="1:9">
      <c r="A43" s="780" t="s">
        <v>411</v>
      </c>
      <c r="C43" s="777"/>
      <c r="D43" s="777"/>
      <c r="E43" s="777"/>
      <c r="F43" s="777"/>
    </row>
    <row r="44" spans="1:9">
      <c r="A44" t="s">
        <v>303</v>
      </c>
      <c r="B44">
        <v>34</v>
      </c>
      <c r="C44" s="777">
        <v>114784.19</v>
      </c>
      <c r="D44" s="777">
        <v>148845.94</v>
      </c>
      <c r="E44" s="777"/>
      <c r="F44" s="777">
        <v>120860</v>
      </c>
    </row>
    <row r="45" spans="1:9">
      <c r="A45" t="s">
        <v>303</v>
      </c>
      <c r="B45">
        <v>3</v>
      </c>
      <c r="C45" s="777">
        <v>114784.19</v>
      </c>
      <c r="D45" s="777">
        <v>148845.94</v>
      </c>
      <c r="E45" s="777"/>
      <c r="F45" s="777"/>
    </row>
    <row r="46" spans="1:9">
      <c r="A46" t="s">
        <v>412</v>
      </c>
      <c r="B46">
        <v>4</v>
      </c>
      <c r="C46" s="777"/>
      <c r="D46" s="777"/>
      <c r="E46" s="777"/>
      <c r="F46" s="777"/>
    </row>
    <row r="47" spans="1:9">
      <c r="C47" s="777"/>
      <c r="D47" s="777"/>
      <c r="E47" s="777"/>
      <c r="F47" s="777"/>
    </row>
    <row r="48" spans="1:9">
      <c r="A48" s="780" t="s">
        <v>304</v>
      </c>
      <c r="C48" s="777"/>
      <c r="D48" s="777"/>
      <c r="E48" s="777"/>
      <c r="F48" s="777"/>
    </row>
    <row r="49" spans="1:8">
      <c r="A49" t="s">
        <v>413</v>
      </c>
      <c r="B49" s="791">
        <f>12*34</f>
        <v>408</v>
      </c>
      <c r="C49" s="777">
        <v>1269.8499999999999</v>
      </c>
      <c r="D49" s="777"/>
      <c r="E49" s="777"/>
      <c r="F49" s="777"/>
      <c r="G49" t="s">
        <v>414</v>
      </c>
      <c r="H49" t="s">
        <v>415</v>
      </c>
    </row>
    <row r="50" spans="1:8">
      <c r="A50" t="s">
        <v>307</v>
      </c>
      <c r="B50" s="791">
        <f>20+20+20+50</f>
        <v>110</v>
      </c>
      <c r="C50" s="777"/>
      <c r="D50" s="777"/>
      <c r="E50" s="777"/>
      <c r="F50" s="777"/>
    </row>
    <row r="51" spans="1:8">
      <c r="A51" t="s">
        <v>416</v>
      </c>
      <c r="B51" s="791">
        <v>20</v>
      </c>
      <c r="C51" s="777">
        <v>89.3</v>
      </c>
      <c r="E51" s="777"/>
      <c r="F51" s="777"/>
      <c r="G51" t="s">
        <v>414</v>
      </c>
    </row>
    <row r="52" spans="1:8">
      <c r="A52" t="s">
        <v>417</v>
      </c>
      <c r="B52" s="791">
        <f>15+15</f>
        <v>30</v>
      </c>
      <c r="C52" s="777"/>
      <c r="E52" s="777"/>
      <c r="F52" s="777"/>
    </row>
    <row r="53" spans="1:8">
      <c r="A53" t="s">
        <v>309</v>
      </c>
      <c r="B53" s="791">
        <v>10</v>
      </c>
      <c r="C53" s="777">
        <v>42.06</v>
      </c>
      <c r="D53" s="777"/>
      <c r="E53" s="777"/>
      <c r="F53" s="777"/>
      <c r="G53" t="s">
        <v>414</v>
      </c>
    </row>
    <row r="54" spans="1:8">
      <c r="A54" t="s">
        <v>418</v>
      </c>
      <c r="B54" s="791">
        <f>B50</f>
        <v>110</v>
      </c>
      <c r="C54" s="777"/>
      <c r="D54" s="777"/>
      <c r="E54" s="777"/>
      <c r="F54" s="777"/>
      <c r="G54" t="s">
        <v>414</v>
      </c>
    </row>
    <row r="55" spans="1:8">
      <c r="A55" t="s">
        <v>419</v>
      </c>
      <c r="B55" s="791">
        <f>B51+B52</f>
        <v>50</v>
      </c>
      <c r="C55" s="777"/>
      <c r="D55" s="777"/>
      <c r="E55" s="777"/>
      <c r="F55" s="777"/>
    </row>
    <row r="56" spans="1:8">
      <c r="A56" t="s">
        <v>420</v>
      </c>
      <c r="B56" s="791">
        <f>B49</f>
        <v>408</v>
      </c>
      <c r="C56" s="777">
        <v>156.66999999999999</v>
      </c>
      <c r="D56" s="777"/>
      <c r="E56" s="777"/>
      <c r="F56" s="777"/>
      <c r="G56" t="s">
        <v>414</v>
      </c>
    </row>
    <row r="57" spans="1:8">
      <c r="A57" t="s">
        <v>421</v>
      </c>
      <c r="B57" s="791">
        <f>B53</f>
        <v>10</v>
      </c>
      <c r="C57" s="777"/>
      <c r="D57" s="777"/>
      <c r="E57" s="777"/>
      <c r="F57" s="777"/>
      <c r="G57" t="s">
        <v>414</v>
      </c>
    </row>
    <row r="58" spans="1:8">
      <c r="A58" t="s">
        <v>422</v>
      </c>
      <c r="B58" s="796" t="s">
        <v>423</v>
      </c>
      <c r="C58" s="777"/>
      <c r="D58" s="777"/>
      <c r="E58" s="777"/>
      <c r="F58" s="777"/>
      <c r="G58" s="784" t="s">
        <v>424</v>
      </c>
      <c r="H58" s="795"/>
    </row>
    <row r="59" spans="1:8">
      <c r="A59" t="s">
        <v>425</v>
      </c>
      <c r="B59" s="791">
        <v>1</v>
      </c>
      <c r="C59" s="777" t="s">
        <v>426</v>
      </c>
      <c r="D59" s="777"/>
      <c r="E59" s="777"/>
      <c r="F59" s="777"/>
    </row>
    <row r="60" spans="1:8">
      <c r="A60" t="s">
        <v>427</v>
      </c>
      <c r="B60" s="791">
        <v>1</v>
      </c>
      <c r="C60" s="777" t="s">
        <v>426</v>
      </c>
      <c r="D60" s="777"/>
      <c r="E60" s="777"/>
      <c r="F60" s="777"/>
    </row>
    <row r="61" spans="1:8">
      <c r="A61" t="s">
        <v>428</v>
      </c>
      <c r="B61" s="791">
        <v>1</v>
      </c>
      <c r="C61" s="777" t="s">
        <v>426</v>
      </c>
      <c r="D61" s="777"/>
      <c r="E61" s="777"/>
      <c r="F61" s="777"/>
    </row>
    <row r="62" spans="1:8">
      <c r="A62" t="s">
        <v>429</v>
      </c>
      <c r="B62" s="791">
        <v>1</v>
      </c>
      <c r="C62" s="777" t="s">
        <v>426</v>
      </c>
      <c r="D62" s="777"/>
      <c r="E62" s="777"/>
      <c r="F62" s="777"/>
      <c r="G62" t="s">
        <v>430</v>
      </c>
    </row>
    <row r="63" spans="1:8">
      <c r="A63" t="s">
        <v>431</v>
      </c>
      <c r="B63" s="791">
        <v>2</v>
      </c>
      <c r="C63" s="777"/>
      <c r="D63" s="777"/>
      <c r="E63" s="777"/>
      <c r="F63" s="777"/>
    </row>
    <row r="64" spans="1:8">
      <c r="C64" s="777"/>
      <c r="D64" s="777"/>
      <c r="E64" s="777"/>
      <c r="F64" s="777"/>
    </row>
    <row r="65" spans="1:8">
      <c r="A65" s="780" t="s">
        <v>312</v>
      </c>
      <c r="C65" s="777"/>
      <c r="D65" s="777"/>
      <c r="E65" s="777"/>
      <c r="F65" s="777"/>
    </row>
    <row r="66" spans="1:8">
      <c r="A66" t="s">
        <v>432</v>
      </c>
      <c r="B66" s="791">
        <f>800+800+800+55+55+55+95+95+95+140+140+140</f>
        <v>3270</v>
      </c>
      <c r="C66" s="777"/>
      <c r="D66" s="777"/>
      <c r="E66" s="777">
        <v>620</v>
      </c>
      <c r="F66" s="777">
        <v>1731</v>
      </c>
      <c r="G66" t="s">
        <v>433</v>
      </c>
    </row>
    <row r="67" spans="1:8">
      <c r="A67" t="s">
        <v>434</v>
      </c>
      <c r="B67" s="791">
        <f>20+20+20</f>
        <v>60</v>
      </c>
      <c r="C67" s="777">
        <v>1180</v>
      </c>
      <c r="D67" s="777"/>
      <c r="E67" s="777"/>
      <c r="F67" s="777">
        <v>1180</v>
      </c>
      <c r="G67" t="s">
        <v>433</v>
      </c>
    </row>
    <row r="68" spans="1:8">
      <c r="A68" t="s">
        <v>310</v>
      </c>
      <c r="B68" s="791">
        <f>B66</f>
        <v>3270</v>
      </c>
      <c r="C68" s="777"/>
      <c r="D68" s="777"/>
      <c r="E68" s="777">
        <v>210</v>
      </c>
      <c r="F68" s="777">
        <v>219.5</v>
      </c>
      <c r="G68" t="s">
        <v>433</v>
      </c>
    </row>
    <row r="69" spans="1:8">
      <c r="A69" t="s">
        <v>315</v>
      </c>
      <c r="B69" s="791">
        <f>B67</f>
        <v>60</v>
      </c>
      <c r="C69" s="777">
        <v>110.44</v>
      </c>
      <c r="D69" s="777"/>
      <c r="E69" s="777">
        <v>115</v>
      </c>
      <c r="F69" s="777">
        <v>110.5</v>
      </c>
      <c r="G69" t="s">
        <v>433</v>
      </c>
    </row>
    <row r="70" spans="1:8">
      <c r="A70" t="s">
        <v>317</v>
      </c>
      <c r="B70" s="791">
        <v>2</v>
      </c>
      <c r="C70" s="777"/>
      <c r="D70" s="777"/>
      <c r="E70" s="777"/>
      <c r="F70" s="777"/>
      <c r="G70" t="s">
        <v>435</v>
      </c>
    </row>
    <row r="71" spans="1:8">
      <c r="A71" t="s">
        <v>436</v>
      </c>
      <c r="B71" s="791">
        <v>2</v>
      </c>
      <c r="C71" s="777"/>
      <c r="D71" s="777"/>
      <c r="E71" s="777"/>
      <c r="F71" s="777"/>
      <c r="G71" t="s">
        <v>364</v>
      </c>
      <c r="H71" s="998"/>
    </row>
    <row r="72" spans="1:8">
      <c r="A72" t="s">
        <v>436</v>
      </c>
      <c r="B72" s="791">
        <v>1</v>
      </c>
      <c r="C72" s="777"/>
      <c r="D72" s="777"/>
      <c r="E72" s="777"/>
      <c r="F72" s="777"/>
      <c r="G72" t="s">
        <v>364</v>
      </c>
      <c r="H72" s="998"/>
    </row>
    <row r="73" spans="1:8">
      <c r="A73" t="s">
        <v>437</v>
      </c>
      <c r="B73" s="791">
        <v>2</v>
      </c>
      <c r="C73" s="777"/>
      <c r="D73" s="777"/>
      <c r="E73" s="777"/>
      <c r="F73" s="777"/>
      <c r="G73" t="s">
        <v>391</v>
      </c>
      <c r="H73" s="998"/>
    </row>
    <row r="74" spans="1:8">
      <c r="A74" t="s">
        <v>438</v>
      </c>
      <c r="B74" s="791">
        <v>6</v>
      </c>
      <c r="C74" s="777"/>
      <c r="D74" s="777"/>
      <c r="E74" s="777"/>
      <c r="F74" s="777"/>
      <c r="G74" s="790" t="s">
        <v>439</v>
      </c>
    </row>
    <row r="75" spans="1:8">
      <c r="A75" t="s">
        <v>440</v>
      </c>
      <c r="B75" s="791">
        <v>6</v>
      </c>
      <c r="C75" s="777">
        <v>1214</v>
      </c>
      <c r="D75" s="777"/>
      <c r="E75" s="777"/>
      <c r="F75" s="777">
        <v>1107</v>
      </c>
      <c r="G75" s="790" t="s">
        <v>439</v>
      </c>
    </row>
    <row r="76" spans="1:8">
      <c r="A76" t="s">
        <v>441</v>
      </c>
      <c r="B76" s="791">
        <v>1</v>
      </c>
      <c r="C76" s="777"/>
      <c r="D76" s="777"/>
      <c r="E76" s="777"/>
      <c r="F76" s="777"/>
      <c r="G76" t="s">
        <v>442</v>
      </c>
    </row>
    <row r="77" spans="1:8">
      <c r="A77" t="s">
        <v>443</v>
      </c>
      <c r="B77" s="791">
        <v>3</v>
      </c>
      <c r="C77" s="777"/>
      <c r="D77" s="777"/>
      <c r="E77" s="777"/>
      <c r="F77" s="777"/>
      <c r="G77" t="s">
        <v>442</v>
      </c>
    </row>
    <row r="78" spans="1:8">
      <c r="A78" t="s">
        <v>444</v>
      </c>
      <c r="B78" s="791">
        <v>1</v>
      </c>
      <c r="C78" s="777"/>
      <c r="D78" s="777"/>
      <c r="E78" s="777"/>
      <c r="F78" s="777"/>
      <c r="G78" t="s">
        <v>442</v>
      </c>
    </row>
    <row r="79" spans="1:8">
      <c r="A79" t="s">
        <v>445</v>
      </c>
      <c r="B79" s="791">
        <v>3</v>
      </c>
      <c r="C79" s="777"/>
      <c r="D79" s="777"/>
      <c r="E79" s="777"/>
      <c r="F79" s="777"/>
      <c r="G79" t="s">
        <v>442</v>
      </c>
    </row>
    <row r="80" spans="1:8">
      <c r="A80" t="s">
        <v>446</v>
      </c>
      <c r="B80" s="791">
        <v>1</v>
      </c>
      <c r="C80" s="777"/>
      <c r="D80" s="777"/>
      <c r="E80" s="777"/>
      <c r="F80" s="777"/>
      <c r="G80" s="784" t="s">
        <v>447</v>
      </c>
      <c r="H80" s="784"/>
    </row>
    <row r="81" spans="1:18">
      <c r="C81" s="777"/>
      <c r="D81" s="777"/>
      <c r="E81" s="777"/>
      <c r="F81" s="777"/>
    </row>
    <row r="82" spans="1:18">
      <c r="A82" s="780" t="s">
        <v>321</v>
      </c>
      <c r="C82" s="777"/>
      <c r="D82" s="777"/>
      <c r="E82" s="777"/>
      <c r="F82" s="777"/>
    </row>
    <row r="83" spans="1:18">
      <c r="A83" t="s">
        <v>448</v>
      </c>
      <c r="B83" s="791">
        <v>2</v>
      </c>
      <c r="C83" s="777"/>
      <c r="D83" s="777"/>
      <c r="E83" s="777"/>
      <c r="F83" s="777"/>
      <c r="G83" s="790" t="s">
        <v>439</v>
      </c>
    </row>
    <row r="84" spans="1:18">
      <c r="A84" t="s">
        <v>449</v>
      </c>
      <c r="B84" s="791">
        <v>1</v>
      </c>
      <c r="C84" s="777"/>
      <c r="D84" s="777"/>
      <c r="E84" s="777"/>
      <c r="F84" s="777"/>
      <c r="G84" s="790"/>
    </row>
    <row r="85" spans="1:18">
      <c r="A85" t="s">
        <v>450</v>
      </c>
      <c r="B85" s="791" t="s">
        <v>451</v>
      </c>
      <c r="C85" s="777"/>
      <c r="D85" s="777"/>
      <c r="E85" s="777"/>
      <c r="F85" s="777"/>
      <c r="G85" s="790"/>
    </row>
    <row r="86" spans="1:18">
      <c r="A86" t="s">
        <v>452</v>
      </c>
      <c r="B86" s="791">
        <v>1</v>
      </c>
      <c r="C86" s="777"/>
      <c r="D86" s="777"/>
      <c r="E86" s="777"/>
      <c r="F86" s="777"/>
      <c r="G86" s="794">
        <v>2470</v>
      </c>
      <c r="H86" t="s">
        <v>453</v>
      </c>
    </row>
    <row r="87" spans="1:18">
      <c r="A87" t="s">
        <v>454</v>
      </c>
      <c r="B87" s="791">
        <v>1</v>
      </c>
      <c r="C87" s="777"/>
      <c r="D87" s="777"/>
      <c r="E87" s="777"/>
      <c r="F87" s="777"/>
      <c r="G87" s="777">
        <v>1306.5</v>
      </c>
      <c r="H87" t="s">
        <v>453</v>
      </c>
    </row>
    <row r="88" spans="1:18">
      <c r="A88" t="s">
        <v>455</v>
      </c>
      <c r="B88" s="791">
        <v>3</v>
      </c>
      <c r="C88" s="777"/>
      <c r="D88" s="777"/>
      <c r="E88" s="777"/>
      <c r="F88" s="777"/>
    </row>
    <row r="89" spans="1:18">
      <c r="A89" t="s">
        <v>456</v>
      </c>
      <c r="B89" s="789" t="s">
        <v>457</v>
      </c>
      <c r="C89" s="777"/>
      <c r="D89" s="777"/>
      <c r="E89" s="777"/>
      <c r="F89" s="777"/>
      <c r="G89" s="777">
        <v>18571.36</v>
      </c>
      <c r="H89" t="s">
        <v>458</v>
      </c>
      <c r="I89" s="784" t="s">
        <v>459</v>
      </c>
      <c r="J89" s="784"/>
      <c r="K89" s="784"/>
      <c r="L89" s="784"/>
      <c r="M89" s="784"/>
      <c r="N89" s="784"/>
      <c r="O89" s="784"/>
      <c r="P89" s="784"/>
      <c r="Q89" s="784"/>
      <c r="R89" s="784"/>
    </row>
    <row r="90" spans="1:18">
      <c r="A90" t="s">
        <v>460</v>
      </c>
      <c r="B90" s="791">
        <v>1</v>
      </c>
      <c r="C90" s="777"/>
      <c r="D90" s="777"/>
      <c r="E90" s="777"/>
      <c r="F90" s="777"/>
      <c r="G90" s="777">
        <v>11169</v>
      </c>
      <c r="H90" t="s">
        <v>461</v>
      </c>
    </row>
    <row r="91" spans="1:18">
      <c r="A91" t="s">
        <v>462</v>
      </c>
      <c r="B91" s="791">
        <v>1</v>
      </c>
      <c r="C91" s="777"/>
      <c r="D91" s="777"/>
      <c r="E91" s="777"/>
      <c r="F91" s="777"/>
      <c r="G91" s="777"/>
    </row>
    <row r="92" spans="1:18">
      <c r="A92" t="s">
        <v>463</v>
      </c>
      <c r="B92" s="791">
        <v>1</v>
      </c>
      <c r="C92" s="777"/>
      <c r="D92" s="777"/>
      <c r="E92" s="777"/>
      <c r="F92" s="777"/>
      <c r="G92" s="777"/>
    </row>
    <row r="93" spans="1:18">
      <c r="A93" t="s">
        <v>322</v>
      </c>
      <c r="B93" s="791">
        <v>800</v>
      </c>
      <c r="C93" s="777">
        <v>365.12</v>
      </c>
      <c r="D93" s="777"/>
      <c r="E93" s="777">
        <v>305</v>
      </c>
      <c r="F93" s="777"/>
      <c r="G93" s="790" t="s">
        <v>439</v>
      </c>
    </row>
    <row r="94" spans="1:18">
      <c r="A94" t="s">
        <v>323</v>
      </c>
      <c r="B94" s="791">
        <v>30</v>
      </c>
      <c r="C94" s="777">
        <v>11.84</v>
      </c>
      <c r="D94" s="777"/>
      <c r="E94" s="777"/>
      <c r="F94" s="777"/>
      <c r="G94" s="790" t="s">
        <v>439</v>
      </c>
    </row>
    <row r="95" spans="1:18">
      <c r="A95" t="s">
        <v>324</v>
      </c>
      <c r="B95" s="791">
        <f>800+60+100</f>
        <v>960</v>
      </c>
      <c r="C95" s="777"/>
      <c r="D95" s="777"/>
      <c r="E95" s="777"/>
      <c r="F95" s="777"/>
      <c r="G95" s="790" t="s">
        <v>439</v>
      </c>
    </row>
    <row r="96" spans="1:18">
      <c r="C96" s="777"/>
      <c r="D96" s="777"/>
      <c r="E96" s="777"/>
      <c r="F96" s="777"/>
    </row>
    <row r="97" spans="1:10">
      <c r="A97" s="780" t="s">
        <v>464</v>
      </c>
      <c r="C97" s="777"/>
      <c r="D97" s="777"/>
      <c r="E97" s="777"/>
      <c r="F97" s="777"/>
    </row>
    <row r="98" spans="1:10">
      <c r="A98" t="s">
        <v>465</v>
      </c>
      <c r="B98" s="791">
        <v>1300</v>
      </c>
      <c r="C98" s="777"/>
      <c r="D98" s="777"/>
      <c r="E98" s="777"/>
      <c r="F98" s="777"/>
      <c r="G98" s="790"/>
    </row>
    <row r="99" spans="1:10">
      <c r="A99" t="s">
        <v>466</v>
      </c>
      <c r="B99" s="791">
        <v>1</v>
      </c>
      <c r="C99" s="777"/>
      <c r="D99" s="777"/>
      <c r="E99" s="777"/>
      <c r="F99" s="777"/>
      <c r="G99" s="790"/>
    </row>
    <row r="100" spans="1:10">
      <c r="C100" s="777"/>
      <c r="D100" s="777"/>
      <c r="E100" s="777"/>
      <c r="F100" s="777"/>
    </row>
    <row r="101" spans="1:10">
      <c r="A101" s="780" t="s">
        <v>467</v>
      </c>
      <c r="C101" s="777"/>
      <c r="D101" s="777"/>
      <c r="E101" s="777"/>
      <c r="F101" s="777"/>
    </row>
    <row r="102" spans="1:10">
      <c r="A102" t="s">
        <v>468</v>
      </c>
      <c r="B102" s="791">
        <v>1</v>
      </c>
      <c r="C102" s="777"/>
      <c r="D102" s="777"/>
      <c r="E102" s="777"/>
      <c r="F102" s="777"/>
      <c r="G102" s="790" t="s">
        <v>469</v>
      </c>
    </row>
    <row r="103" spans="1:10">
      <c r="A103" t="s">
        <v>470</v>
      </c>
      <c r="B103" s="791">
        <v>3</v>
      </c>
      <c r="C103" s="777"/>
      <c r="D103" s="777"/>
      <c r="E103" s="777"/>
      <c r="F103" s="777"/>
      <c r="G103" s="790" t="s">
        <v>439</v>
      </c>
    </row>
    <row r="104" spans="1:10">
      <c r="A104" t="s">
        <v>471</v>
      </c>
      <c r="B104" s="791">
        <v>1</v>
      </c>
      <c r="C104" s="777"/>
      <c r="D104" s="777"/>
      <c r="E104" s="777"/>
      <c r="F104" s="777"/>
      <c r="G104" s="790"/>
    </row>
    <row r="105" spans="1:10">
      <c r="A105" t="s">
        <v>472</v>
      </c>
      <c r="B105" s="791">
        <v>1</v>
      </c>
      <c r="C105" s="777"/>
      <c r="D105" s="777"/>
      <c r="E105" s="777"/>
      <c r="F105" s="777"/>
      <c r="G105" s="790"/>
    </row>
    <row r="106" spans="1:10">
      <c r="A106" t="s">
        <v>408</v>
      </c>
      <c r="B106" s="791">
        <v>2</v>
      </c>
      <c r="C106" s="777"/>
      <c r="D106" s="777"/>
      <c r="E106" s="777"/>
      <c r="F106" s="777"/>
      <c r="G106" t="s">
        <v>473</v>
      </c>
      <c r="H106" s="793"/>
    </row>
    <row r="107" spans="1:10">
      <c r="A107" t="s">
        <v>389</v>
      </c>
      <c r="B107" s="791">
        <v>1</v>
      </c>
      <c r="C107" s="777"/>
      <c r="D107" s="777"/>
      <c r="E107" s="777"/>
      <c r="F107" s="777"/>
      <c r="G107" t="s">
        <v>473</v>
      </c>
      <c r="H107" s="793"/>
    </row>
    <row r="108" spans="1:10">
      <c r="A108" t="s">
        <v>474</v>
      </c>
      <c r="B108" s="791">
        <f>700+10+10</f>
        <v>720</v>
      </c>
      <c r="C108" s="777"/>
      <c r="D108" s="777"/>
      <c r="E108" s="777"/>
      <c r="F108" s="777"/>
      <c r="G108" s="790" t="s">
        <v>439</v>
      </c>
      <c r="H108" s="793"/>
    </row>
    <row r="109" spans="1:10">
      <c r="A109" t="s">
        <v>475</v>
      </c>
      <c r="B109" s="792" t="s">
        <v>439</v>
      </c>
      <c r="C109" s="777"/>
      <c r="D109" s="777"/>
      <c r="E109" s="777"/>
      <c r="F109" s="777"/>
      <c r="G109" s="790" t="s">
        <v>439</v>
      </c>
    </row>
    <row r="110" spans="1:10">
      <c r="A110" t="s">
        <v>476</v>
      </c>
      <c r="B110" s="791">
        <f>520+90+10+10+10+10</f>
        <v>650</v>
      </c>
      <c r="C110" s="777"/>
      <c r="D110" s="777"/>
      <c r="E110" s="777"/>
      <c r="F110" s="777"/>
      <c r="G110" s="790" t="s">
        <v>439</v>
      </c>
      <c r="J110" s="788"/>
    </row>
    <row r="111" spans="1:10">
      <c r="A111" t="s">
        <v>477</v>
      </c>
      <c r="B111" s="791">
        <f>150+(5*38)+20</f>
        <v>360</v>
      </c>
      <c r="C111" s="777"/>
      <c r="D111" s="777"/>
      <c r="E111" s="777"/>
      <c r="F111" s="777"/>
      <c r="G111" s="790"/>
      <c r="J111" s="788"/>
    </row>
    <row r="112" spans="1:10">
      <c r="A112" t="s">
        <v>478</v>
      </c>
      <c r="B112" s="791">
        <f>45+45+32+32</f>
        <v>154</v>
      </c>
      <c r="C112" s="777"/>
      <c r="D112" s="777"/>
      <c r="E112" s="777"/>
      <c r="F112" s="777"/>
      <c r="G112" s="790"/>
      <c r="J112" s="788"/>
    </row>
    <row r="113" spans="1:10">
      <c r="A113" t="s">
        <v>479</v>
      </c>
      <c r="B113" s="791">
        <v>1236</v>
      </c>
      <c r="C113" s="777"/>
      <c r="D113" s="777"/>
      <c r="E113" s="777"/>
      <c r="F113" s="777"/>
      <c r="G113" s="790" t="s">
        <v>439</v>
      </c>
    </row>
    <row r="114" spans="1:10">
      <c r="A114" t="s">
        <v>480</v>
      </c>
      <c r="B114" s="784">
        <v>30</v>
      </c>
      <c r="C114" s="777"/>
      <c r="D114" s="777"/>
      <c r="E114" s="777"/>
      <c r="F114" s="777"/>
    </row>
    <row r="115" spans="1:10">
      <c r="C115" s="777"/>
      <c r="D115" s="777"/>
      <c r="E115" s="777"/>
      <c r="F115" s="777"/>
    </row>
    <row r="116" spans="1:10">
      <c r="A116" s="780" t="s">
        <v>481</v>
      </c>
      <c r="C116" s="777"/>
      <c r="D116" s="777"/>
      <c r="E116" s="777"/>
      <c r="F116" s="777"/>
    </row>
    <row r="117" spans="1:10">
      <c r="A117" t="s">
        <v>482</v>
      </c>
      <c r="B117" s="789" t="s">
        <v>439</v>
      </c>
      <c r="C117" s="777"/>
      <c r="D117" s="777"/>
      <c r="E117" s="777"/>
      <c r="F117" s="777"/>
      <c r="G117" t="s">
        <v>483</v>
      </c>
      <c r="H117" s="788" t="s">
        <v>484</v>
      </c>
      <c r="I117" s="788"/>
      <c r="J117" s="788"/>
    </row>
    <row r="118" spans="1:10">
      <c r="A118" t="s">
        <v>485</v>
      </c>
      <c r="B118" s="789" t="s">
        <v>439</v>
      </c>
      <c r="C118" s="777"/>
      <c r="D118" s="777"/>
      <c r="E118" s="777"/>
      <c r="F118" s="777"/>
      <c r="G118" s="790" t="s">
        <v>439</v>
      </c>
      <c r="H118" s="788" t="s">
        <v>486</v>
      </c>
      <c r="I118" s="788"/>
    </row>
    <row r="119" spans="1:10">
      <c r="A119" t="s">
        <v>487</v>
      </c>
      <c r="B119" s="789" t="s">
        <v>439</v>
      </c>
      <c r="H119" s="788" t="s">
        <v>486</v>
      </c>
      <c r="I119" s="788"/>
    </row>
    <row r="120" spans="1:10">
      <c r="A120" t="s">
        <v>488</v>
      </c>
      <c r="B120" s="787" t="s">
        <v>489</v>
      </c>
      <c r="G120" t="s">
        <v>435</v>
      </c>
      <c r="H120" s="786" t="s">
        <v>490</v>
      </c>
      <c r="I120" s="786"/>
      <c r="J120" s="786"/>
    </row>
    <row r="121" spans="1:10">
      <c r="A121" t="s">
        <v>491</v>
      </c>
      <c r="B121" s="784">
        <v>1</v>
      </c>
      <c r="D121" s="785">
        <v>3000000</v>
      </c>
      <c r="E121" s="784"/>
      <c r="F121" s="784"/>
      <c r="G121" s="784" t="s">
        <v>492</v>
      </c>
      <c r="H121" s="784" t="s">
        <v>493</v>
      </c>
      <c r="I121" s="784"/>
      <c r="J121" s="784"/>
    </row>
  </sheetData>
  <mergeCells count="3">
    <mergeCell ref="A1:G1"/>
    <mergeCell ref="H26:H41"/>
    <mergeCell ref="H71:H73"/>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97"/>
  <sheetViews>
    <sheetView topLeftCell="A20" zoomScale="130" zoomScaleNormal="130" zoomScaleSheetLayoutView="100" workbookViewId="0">
      <selection activeCell="C42" sqref="C42"/>
    </sheetView>
  </sheetViews>
  <sheetFormatPr defaultColWidth="8.453125" defaultRowHeight="14"/>
  <cols>
    <col min="1" max="1" width="1.453125" style="111" customWidth="1"/>
    <col min="2" max="2" width="6.54296875" style="162" customWidth="1"/>
    <col min="3" max="3" width="66.36328125" style="24" bestFit="1" customWidth="1"/>
    <col min="4" max="4" width="5.54296875" style="111" customWidth="1"/>
    <col min="5" max="5" width="14.90625" style="111" hidden="1" customWidth="1"/>
    <col min="6" max="6" width="14.453125" style="24" hidden="1" customWidth="1"/>
    <col min="7" max="7" width="10.453125" style="159" hidden="1" customWidth="1"/>
    <col min="8" max="8" width="12.54296875" style="64" hidden="1" customWidth="1"/>
    <col min="9" max="9" width="12.36328125" style="111" hidden="1" customWidth="1"/>
    <col min="10" max="10" width="14.453125" style="629" customWidth="1"/>
    <col min="11" max="11" width="14.453125" style="246" bestFit="1" customWidth="1"/>
    <col min="12" max="12" width="12.54296875" style="156" customWidth="1"/>
    <col min="13" max="13" width="14.453125" style="246" customWidth="1"/>
    <col min="14" max="14" width="14.6328125" style="111" hidden="1" customWidth="1"/>
    <col min="15" max="15" width="12.54296875" style="111" hidden="1" customWidth="1"/>
    <col min="16" max="17" width="12" style="111" bestFit="1" customWidth="1"/>
    <col min="18" max="18" width="69.6328125" style="111" bestFit="1" customWidth="1"/>
    <col min="19" max="19" width="1.453125" style="111" customWidth="1"/>
    <col min="20" max="20" width="5.54296875" style="3" customWidth="1"/>
    <col min="21" max="21" width="34.453125" style="111" bestFit="1" customWidth="1"/>
    <col min="22" max="22" width="34.453125" style="24" bestFit="1" customWidth="1"/>
    <col min="23" max="27" width="16.6328125" style="24" customWidth="1"/>
    <col min="28" max="28" width="8.453125" style="24" customWidth="1"/>
    <col min="29" max="29" width="39.08984375" style="24" customWidth="1"/>
    <col min="30" max="30" width="8.453125" style="24"/>
    <col min="31" max="31" width="17.6328125" style="24" bestFit="1" customWidth="1"/>
    <col min="32" max="16384" width="8.453125" style="24"/>
  </cols>
  <sheetData>
    <row r="1" spans="1:29" s="111" customFormat="1" ht="4.5" customHeight="1">
      <c r="A1" s="643">
        <f ca="1">TODAY()</f>
        <v>46078</v>
      </c>
      <c r="B1" s="158"/>
      <c r="G1" s="159"/>
      <c r="H1" s="112"/>
      <c r="J1" s="629"/>
      <c r="K1" s="246"/>
      <c r="L1" s="156"/>
      <c r="M1" s="246"/>
      <c r="Q1" s="397">
        <f ca="1">TODAY()</f>
        <v>46078</v>
      </c>
      <c r="R1" s="397">
        <f ca="1">TODAY()</f>
        <v>46078</v>
      </c>
      <c r="T1" s="3"/>
    </row>
    <row r="2" spans="1:29">
      <c r="B2" s="168"/>
      <c r="C2" s="169" t="s">
        <v>0</v>
      </c>
      <c r="D2" s="170"/>
      <c r="J2" s="587" t="s">
        <v>61</v>
      </c>
      <c r="K2" s="588"/>
      <c r="L2" s="588"/>
      <c r="M2" s="589"/>
      <c r="Q2" s="398">
        <v>0</v>
      </c>
      <c r="R2" s="398">
        <v>1</v>
      </c>
      <c r="V2" s="111"/>
      <c r="W2" s="111"/>
      <c r="X2" s="111"/>
      <c r="Y2" s="111"/>
      <c r="Z2" s="111"/>
      <c r="AA2" s="111"/>
    </row>
    <row r="3" spans="1:29" s="111" customFormat="1">
      <c r="B3" s="171"/>
      <c r="C3" s="172" t="s">
        <v>494</v>
      </c>
      <c r="D3" s="170"/>
      <c r="J3" s="404">
        <v>13700</v>
      </c>
      <c r="K3" s="173"/>
      <c r="L3" s="174"/>
      <c r="M3" s="175"/>
      <c r="T3" s="3"/>
    </row>
    <row r="4" spans="1:29" s="111" customFormat="1">
      <c r="B4" s="171"/>
      <c r="C4" s="172" t="s">
        <v>495</v>
      </c>
      <c r="D4" s="170"/>
      <c r="J4" s="404" t="s">
        <v>439</v>
      </c>
      <c r="K4" s="405"/>
      <c r="L4" s="405"/>
      <c r="M4" s="406"/>
      <c r="T4" s="3"/>
    </row>
    <row r="5" spans="1:29" s="111" customFormat="1">
      <c r="B5" s="171"/>
      <c r="C5" s="172" t="s">
        <v>496</v>
      </c>
      <c r="D5" s="170"/>
      <c r="J5" s="404" t="s">
        <v>497</v>
      </c>
      <c r="K5" s="405"/>
      <c r="L5" s="405"/>
      <c r="M5" s="406"/>
      <c r="T5" s="3"/>
    </row>
    <row r="6" spans="1:29" s="111" customFormat="1">
      <c r="B6" s="171"/>
      <c r="C6" s="172" t="s">
        <v>498</v>
      </c>
      <c r="D6" s="170"/>
      <c r="J6" s="404" t="s">
        <v>362</v>
      </c>
      <c r="K6" s="405"/>
      <c r="L6" s="405"/>
      <c r="M6" s="406"/>
      <c r="P6" s="719">
        <f>DATEDIF(K199,M301,"m")</f>
        <v>5</v>
      </c>
      <c r="T6" s="3"/>
    </row>
    <row r="7" spans="1:29" s="111" customFormat="1">
      <c r="B7" s="171"/>
      <c r="C7" s="172" t="s">
        <v>499</v>
      </c>
      <c r="D7" s="170"/>
      <c r="J7" s="404" t="s">
        <v>439</v>
      </c>
      <c r="K7" s="173"/>
      <c r="L7" s="405"/>
      <c r="M7" s="406"/>
      <c r="T7" s="3"/>
    </row>
    <row r="8" spans="1:29" hidden="1">
      <c r="B8" s="176"/>
      <c r="C8" s="177" t="s">
        <v>500</v>
      </c>
      <c r="D8" s="170"/>
      <c r="J8" s="999">
        <v>144482290.75276899</v>
      </c>
      <c r="K8" s="1000"/>
      <c r="L8" s="1000"/>
      <c r="M8" s="1001"/>
    </row>
    <row r="9" spans="1:29" s="111" customFormat="1">
      <c r="B9" s="158"/>
      <c r="C9" s="783" t="s">
        <v>501</v>
      </c>
      <c r="E9" s="772" t="s">
        <v>502</v>
      </c>
      <c r="F9" s="113"/>
      <c r="G9" s="159"/>
      <c r="H9" s="178"/>
      <c r="J9" s="825" t="s">
        <v>502</v>
      </c>
      <c r="K9" s="246"/>
      <c r="L9" s="156"/>
      <c r="M9" s="246"/>
      <c r="T9" s="3"/>
    </row>
    <row r="10" spans="1:29" s="683" customFormat="1" ht="29.9" customHeight="1">
      <c r="A10" s="113"/>
      <c r="B10" s="665" t="s">
        <v>503</v>
      </c>
      <c r="C10" s="666" t="s">
        <v>504</v>
      </c>
      <c r="D10" s="211" t="s">
        <v>505</v>
      </c>
      <c r="E10" s="667" t="s">
        <v>506</v>
      </c>
      <c r="F10" s="667" t="s">
        <v>507</v>
      </c>
      <c r="G10" s="229" t="s">
        <v>508</v>
      </c>
      <c r="H10" s="667" t="s">
        <v>509</v>
      </c>
      <c r="I10" s="684" t="s">
        <v>510</v>
      </c>
      <c r="J10" s="667" t="s">
        <v>511</v>
      </c>
      <c r="K10" s="667" t="s">
        <v>512</v>
      </c>
      <c r="L10" s="229" t="s">
        <v>513</v>
      </c>
      <c r="M10" s="667" t="s">
        <v>514</v>
      </c>
      <c r="N10" s="229" t="s">
        <v>515</v>
      </c>
      <c r="O10" s="113" t="s">
        <v>516</v>
      </c>
      <c r="P10" s="642" t="s">
        <v>517</v>
      </c>
      <c r="Q10" s="366" t="s">
        <v>518</v>
      </c>
      <c r="R10" s="1002" t="s">
        <v>519</v>
      </c>
      <c r="S10" s="113"/>
      <c r="T10" s="119"/>
      <c r="U10" s="113"/>
    </row>
    <row r="11" spans="1:29" ht="33.75" customHeight="1">
      <c r="B11" s="665" t="s">
        <v>503</v>
      </c>
      <c r="C11" s="666" t="s">
        <v>504</v>
      </c>
      <c r="D11" s="207"/>
      <c r="E11" s="667"/>
      <c r="F11" s="667" t="s">
        <v>507</v>
      </c>
      <c r="G11" s="229" t="s">
        <v>508</v>
      </c>
      <c r="H11" s="667" t="s">
        <v>509</v>
      </c>
      <c r="I11" s="230"/>
      <c r="J11" s="667" t="s">
        <v>511</v>
      </c>
      <c r="K11" s="667" t="s">
        <v>512</v>
      </c>
      <c r="L11" s="229" t="s">
        <v>508</v>
      </c>
      <c r="M11" s="667" t="s">
        <v>514</v>
      </c>
      <c r="N11" s="229" t="s">
        <v>515</v>
      </c>
      <c r="P11" s="642" t="s">
        <v>517</v>
      </c>
      <c r="Q11" s="642" t="s">
        <v>520</v>
      </c>
      <c r="R11" s="1003"/>
    </row>
    <row r="12" spans="1:29" s="111" customFormat="1" ht="14.25" customHeight="1">
      <c r="B12" s="665"/>
      <c r="C12" s="666"/>
      <c r="D12" s="207"/>
      <c r="E12" s="229"/>
      <c r="F12" s="667"/>
      <c r="G12" s="125" t="e">
        <f>#REF!-#REF!</f>
        <v>#REF!</v>
      </c>
      <c r="H12" s="667"/>
      <c r="I12" s="230"/>
      <c r="J12" s="229"/>
      <c r="K12" s="667"/>
      <c r="L12" s="126"/>
      <c r="M12" s="667"/>
      <c r="N12" s="229"/>
      <c r="P12" s="352">
        <f>AVERAGE(P14,P21,P34,P57,P83,P89,P98,P117,P136,P179,P199,P223,P235,P301,P317,P321)</f>
        <v>0.36881127450980394</v>
      </c>
      <c r="Q12" s="352">
        <f ca="1">AVERAGE(Q14,Q21,Q34,Q57,Q83,Q89,Q98,Q117,Q136,Q179,Q199,Q223,Q235,Q301,Q317,Q321)</f>
        <v>0.37278711666841691</v>
      </c>
      <c r="T12" s="3"/>
    </row>
    <row r="13" spans="1:29" s="113" customFormat="1" ht="14.25" customHeight="1">
      <c r="B13" s="231"/>
      <c r="C13" s="207"/>
      <c r="D13" s="207"/>
      <c r="E13" s="207"/>
      <c r="F13" s="232"/>
      <c r="G13" s="232"/>
      <c r="H13" s="233"/>
      <c r="I13" s="230"/>
      <c r="J13" s="630"/>
      <c r="K13" s="668"/>
      <c r="L13" s="668"/>
      <c r="M13" s="669"/>
      <c r="N13" s="207"/>
      <c r="O13" s="111"/>
      <c r="P13" s="111"/>
      <c r="Q13" s="111"/>
      <c r="R13" s="118"/>
      <c r="S13" s="111"/>
      <c r="T13" s="119"/>
    </row>
    <row r="14" spans="1:29" s="111" customFormat="1" ht="14.25" customHeight="1">
      <c r="B14" s="235" t="s">
        <v>521</v>
      </c>
      <c r="C14" s="236" t="s">
        <v>522</v>
      </c>
      <c r="D14" s="211"/>
      <c r="E14" s="211"/>
      <c r="F14" s="237"/>
      <c r="G14" s="238"/>
      <c r="H14" s="237"/>
      <c r="I14" s="212" t="s">
        <v>523</v>
      </c>
      <c r="J14" s="631"/>
      <c r="K14" s="670">
        <f>MIN(K15:K19)</f>
        <v>45695</v>
      </c>
      <c r="L14" s="671">
        <f>NETWORKDAYS(K14,M14,Data!$C$3:$C$57)</f>
        <v>265</v>
      </c>
      <c r="M14" s="670">
        <f>MAX(M15:M19)</f>
        <v>46108</v>
      </c>
      <c r="N14" s="121" t="s">
        <v>94</v>
      </c>
      <c r="O14" s="113"/>
      <c r="P14" s="351">
        <f>AVERAGE(P15:P19)</f>
        <v>0.9</v>
      </c>
      <c r="Q14" s="351">
        <f ca="1">AVERAGE(Q15:Q19)</f>
        <v>0.92941176470588227</v>
      </c>
      <c r="R14" s="121"/>
      <c r="T14" s="3"/>
    </row>
    <row r="15" spans="1:29" s="111" customFormat="1" ht="14.25" hidden="1" customHeight="1">
      <c r="B15" s="239"/>
      <c r="C15" s="240" t="s">
        <v>524</v>
      </c>
      <c r="D15" s="207"/>
      <c r="E15" s="207"/>
      <c r="F15" s="241"/>
      <c r="G15" s="242"/>
      <c r="H15" s="241"/>
      <c r="I15" s="230" t="s">
        <v>525</v>
      </c>
      <c r="J15" s="632"/>
      <c r="K15" s="672">
        <v>45695</v>
      </c>
      <c r="L15" s="673">
        <v>58</v>
      </c>
      <c r="M15" s="672">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hidden="1" customHeight="1">
      <c r="B16" s="239"/>
      <c r="C16" s="240" t="s">
        <v>526</v>
      </c>
      <c r="D16" s="207"/>
      <c r="E16" s="207"/>
      <c r="F16" s="241"/>
      <c r="G16" s="242"/>
      <c r="H16" s="241"/>
      <c r="I16" s="230" t="s">
        <v>525</v>
      </c>
      <c r="J16" s="632"/>
      <c r="K16" s="672">
        <v>45695</v>
      </c>
      <c r="L16" s="673">
        <v>20</v>
      </c>
      <c r="M16" s="672">
        <v>45723</v>
      </c>
      <c r="N16" s="121"/>
      <c r="P16" s="244">
        <v>1</v>
      </c>
      <c r="Q16" s="244">
        <f ca="1">_xlfn.LET(
  _xlpm.s,VALUE($K16),
  _xlpm.e,VALUE($M16),
  IF(OR(_xlpm.s="",_xlpm.e=""),"", IF(_xlpm.e&lt;=_xlpm.s, IF(TODAY()&gt;=_xlpm.e,1,0), MAX(0,MIN(1,(TODAY()-_xlpm.s)/(_xlpm.e-_xlpm.s)))))
)</f>
        <v>1</v>
      </c>
      <c r="R16" s="121"/>
      <c r="T16" s="3"/>
      <c r="AC16" s="681">
        <v>0</v>
      </c>
    </row>
    <row r="17" spans="2:73" s="111" customFormat="1" ht="14.25" customHeight="1">
      <c r="B17" s="239"/>
      <c r="C17" s="240" t="s">
        <v>527</v>
      </c>
      <c r="D17" s="207"/>
      <c r="E17" s="207"/>
      <c r="F17" s="241"/>
      <c r="G17" s="242"/>
      <c r="H17" s="241"/>
      <c r="I17" s="230" t="s">
        <v>525</v>
      </c>
      <c r="J17" s="632"/>
      <c r="K17" s="672">
        <v>46023</v>
      </c>
      <c r="L17" s="673">
        <v>50</v>
      </c>
      <c r="M17" s="672">
        <f>WORKDAY.INTL(K17,L17,1,Data!$C$3:$C$57)</f>
        <v>46108</v>
      </c>
      <c r="N17" s="121"/>
      <c r="P17" s="244">
        <v>0.5</v>
      </c>
      <c r="Q17" s="244">
        <f ca="1">_xlfn.LET(
  _xlpm.s,VALUE($K17),
  _xlpm.e,VALUE($M17),
  IF(OR(_xlpm.s="",_xlpm.e=""),"", IF(_xlpm.e&lt;=_xlpm.s, IF(TODAY()&gt;=_xlpm.e,1,0), MAX(0,MIN(1,(TODAY()-_xlpm.s)/(_xlpm.e-_xlpm.s)))))
)</f>
        <v>0.6470588235294118</v>
      </c>
      <c r="R17" s="121"/>
      <c r="T17" s="3"/>
      <c r="U17" s="686"/>
    </row>
    <row r="18" spans="2:73" s="111" customFormat="1" ht="14.25" hidden="1" customHeight="1">
      <c r="B18" s="239"/>
      <c r="C18" s="240" t="s">
        <v>528</v>
      </c>
      <c r="D18" s="207"/>
      <c r="E18" s="207"/>
      <c r="F18" s="241"/>
      <c r="G18" s="242"/>
      <c r="H18" s="241"/>
      <c r="I18" s="230"/>
      <c r="J18" s="632"/>
      <c r="K18" s="672">
        <f>K15</f>
        <v>45695</v>
      </c>
      <c r="L18" s="673">
        <v>219</v>
      </c>
      <c r="M18" s="672">
        <f>WORKDAY.INTL(K18,L18,1,Data!$C$3:$C$57)</f>
        <v>46045</v>
      </c>
      <c r="N18" s="121"/>
      <c r="P18" s="244">
        <v>1</v>
      </c>
      <c r="Q18" s="244">
        <f ca="1">_xlfn.LET(
  _xlpm.s,VALUE($K18),
  _xlpm.e,VALUE($M18),
  IF(OR(_xlpm.s="",_xlpm.e=""),"", IF(_xlpm.e&lt;=_xlpm.s, IF(TODAY()&gt;=_xlpm.e,1,0), MAX(0,MIN(1,(TODAY()-_xlpm.s)/(_xlpm.e-_xlpm.s)))))
)</f>
        <v>1</v>
      </c>
      <c r="R18" s="121"/>
      <c r="T18" s="3"/>
      <c r="U18" s="686"/>
    </row>
    <row r="19" spans="2:73" s="111" customFormat="1" ht="14.25" hidden="1" customHeight="1">
      <c r="B19" s="239"/>
      <c r="C19" s="240" t="s">
        <v>529</v>
      </c>
      <c r="D19" s="207"/>
      <c r="E19" s="207"/>
      <c r="F19" s="241"/>
      <c r="G19" s="242"/>
      <c r="H19" s="241"/>
      <c r="I19" s="230" t="s">
        <v>525</v>
      </c>
      <c r="J19" s="632"/>
      <c r="K19" s="672">
        <v>45695</v>
      </c>
      <c r="L19" s="673">
        <v>189</v>
      </c>
      <c r="M19" s="672">
        <f>WORKDAY.INTL(K19,L19,1,Data!$C$3:$C$57)</f>
        <v>45968</v>
      </c>
      <c r="N19" s="121"/>
      <c r="P19" s="244">
        <v>1</v>
      </c>
      <c r="Q19" s="244">
        <f ca="1">_xlfn.LET(
  _xlpm.s,VALUE($K19),
  _xlpm.e,VALUE($M19),
  IF(OR(_xlpm.s="",_xlpm.e=""),"", IF(_xlpm.e&lt;=_xlpm.s, IF(TODAY()&gt;=_xlpm.e,1,0), MAX(0,MIN(1,(TODAY()-_xlpm.s)/(_xlpm.e-_xlpm.s)))))
)</f>
        <v>1</v>
      </c>
      <c r="R19" s="121"/>
      <c r="T19" s="3"/>
      <c r="U19" s="686"/>
      <c r="V19" s="498" t="s">
        <v>523</v>
      </c>
      <c r="W19" s="679" t="s">
        <v>530</v>
      </c>
      <c r="X19" s="679" t="s">
        <v>531</v>
      </c>
      <c r="Y19" s="679" t="s">
        <v>532</v>
      </c>
      <c r="Z19" s="679" t="s">
        <v>533</v>
      </c>
      <c r="AA19" s="679" t="s">
        <v>534</v>
      </c>
      <c r="AC19" s="498" t="s">
        <v>535</v>
      </c>
      <c r="AE19" s="682"/>
      <c r="AF19" s="682"/>
      <c r="AG19" s="682"/>
      <c r="AH19" s="682"/>
      <c r="AI19" s="682"/>
      <c r="AJ19" s="682"/>
      <c r="AK19" s="682"/>
      <c r="AL19" s="682"/>
      <c r="AM19" s="682"/>
      <c r="AN19" s="682"/>
      <c r="AO19" s="682"/>
      <c r="AP19" s="682"/>
      <c r="AQ19" s="682"/>
      <c r="AR19" s="682"/>
    </row>
    <row r="20" spans="2:73" s="113" customFormat="1" ht="14.25" customHeight="1">
      <c r="B20" s="231"/>
      <c r="C20" s="207"/>
      <c r="D20" s="207"/>
      <c r="E20" s="207"/>
      <c r="F20" s="232"/>
      <c r="G20" s="232"/>
      <c r="H20" s="233"/>
      <c r="I20" s="230"/>
      <c r="J20" s="632"/>
      <c r="K20" s="668"/>
      <c r="L20" s="668"/>
      <c r="M20" s="669"/>
      <c r="N20" s="121"/>
      <c r="O20" s="111"/>
      <c r="P20" s="111"/>
      <c r="Q20" s="111"/>
      <c r="R20" s="121"/>
      <c r="S20" s="111"/>
      <c r="T20" s="119"/>
      <c r="U20" s="170">
        <f t="shared" ref="U20:U35" si="0">AA20*X20</f>
        <v>371.7</v>
      </c>
      <c r="V20" s="628" t="str">
        <f>C14</f>
        <v>CPs - Generator</v>
      </c>
      <c r="W20" s="677">
        <f>K14</f>
        <v>45695</v>
      </c>
      <c r="X20" s="678">
        <f>Y20-W20</f>
        <v>413</v>
      </c>
      <c r="Y20" s="677">
        <f>M14</f>
        <v>46108</v>
      </c>
      <c r="Z20" s="678" t="s">
        <v>148</v>
      </c>
      <c r="AA20" s="680">
        <f>P14</f>
        <v>0.9</v>
      </c>
      <c r="AB20" s="111"/>
      <c r="AC20" s="1004">
        <f>P12</f>
        <v>0.36881127450980394</v>
      </c>
      <c r="AD20" s="111"/>
      <c r="AE20" s="682"/>
      <c r="AF20" s="682"/>
      <c r="AG20" s="682"/>
      <c r="AH20" s="682"/>
      <c r="AI20" s="682"/>
      <c r="AJ20" s="682"/>
      <c r="AK20" s="682"/>
      <c r="AL20" s="682"/>
      <c r="AM20" s="682"/>
      <c r="AN20" s="682"/>
      <c r="AO20" s="682"/>
      <c r="AP20" s="682"/>
      <c r="AQ20" s="682"/>
      <c r="AR20" s="682"/>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536</v>
      </c>
      <c r="C21" s="236" t="s">
        <v>537</v>
      </c>
      <c r="D21" s="211"/>
      <c r="E21" s="211"/>
      <c r="F21" s="237"/>
      <c r="G21" s="238"/>
      <c r="H21" s="237"/>
      <c r="I21" s="212" t="s">
        <v>523</v>
      </c>
      <c r="J21" s="631"/>
      <c r="K21" s="670">
        <f>MIN(K22:K32)</f>
        <v>45695</v>
      </c>
      <c r="L21" s="671">
        <f>NETWORKDAYS(K21,M21,Data!$C$3:$C$57)</f>
        <v>281</v>
      </c>
      <c r="M21" s="670">
        <f>MAX(M22:M32)</f>
        <v>46134</v>
      </c>
      <c r="N21" s="121" t="s">
        <v>94</v>
      </c>
      <c r="O21" s="113"/>
      <c r="P21" s="351">
        <f>AVERAGE(P22:P32)</f>
        <v>0.9</v>
      </c>
      <c r="Q21" s="351">
        <f ca="1">AVERAGE(Q22:Q32)</f>
        <v>0.86508413461538458</v>
      </c>
      <c r="R21" s="121"/>
      <c r="T21" s="3"/>
      <c r="U21" s="170">
        <f t="shared" si="0"/>
        <v>395.1</v>
      </c>
      <c r="V21" s="628" t="str">
        <f>C21</f>
        <v>CPs - Offtaker</v>
      </c>
      <c r="W21" s="677">
        <f>K21</f>
        <v>45695</v>
      </c>
      <c r="X21" s="678">
        <f t="shared" ref="X21:X35" si="1">Y21-W21</f>
        <v>439</v>
      </c>
      <c r="Y21" s="677">
        <f>M21</f>
        <v>46134</v>
      </c>
      <c r="Z21" s="678" t="s">
        <v>148</v>
      </c>
      <c r="AA21" s="680">
        <f>P21</f>
        <v>0.9</v>
      </c>
      <c r="AC21" s="1005"/>
      <c r="AE21" s="682"/>
      <c r="AF21" s="682"/>
      <c r="AG21" s="682"/>
      <c r="AH21" s="682"/>
      <c r="AI21" s="682"/>
      <c r="AJ21" s="682"/>
      <c r="AK21" s="682"/>
      <c r="AL21" s="682"/>
      <c r="AM21" s="682"/>
      <c r="AN21" s="682"/>
      <c r="AO21" s="682"/>
      <c r="AP21" s="682"/>
      <c r="AQ21" s="682"/>
      <c r="AR21" s="682"/>
    </row>
    <row r="22" spans="2:73" s="111" customFormat="1" ht="14.25" customHeight="1">
      <c r="B22" s="239"/>
      <c r="C22" s="240" t="s">
        <v>538</v>
      </c>
      <c r="D22" s="207"/>
      <c r="E22" s="207"/>
      <c r="F22" s="241"/>
      <c r="G22" s="242"/>
      <c r="H22" s="241"/>
      <c r="I22" s="230" t="s">
        <v>525</v>
      </c>
      <c r="J22" s="632"/>
      <c r="K22" s="672">
        <f>M24</f>
        <v>46111</v>
      </c>
      <c r="L22" s="673">
        <v>15</v>
      </c>
      <c r="M22" s="672">
        <f>WORKDAY.INTL(K22,L22,1,Data!$C$3:$C$57)</f>
        <v>46134</v>
      </c>
      <c r="N22" s="121"/>
      <c r="P22" s="244">
        <v>0</v>
      </c>
      <c r="Q22" s="244">
        <v>0</v>
      </c>
      <c r="R22" s="121"/>
      <c r="T22" s="3"/>
      <c r="U22" s="170">
        <f t="shared" si="0"/>
        <v>370.53333333333336</v>
      </c>
      <c r="V22" s="628" t="str">
        <f>C34</f>
        <v>Surveys &amp; Permits</v>
      </c>
      <c r="W22" s="677">
        <f>K34</f>
        <v>45695</v>
      </c>
      <c r="X22" s="678">
        <f t="shared" si="1"/>
        <v>397</v>
      </c>
      <c r="Y22" s="677">
        <f>M34</f>
        <v>46092</v>
      </c>
      <c r="Z22" s="678" t="s">
        <v>148</v>
      </c>
      <c r="AA22" s="680">
        <f>P34</f>
        <v>0.93333333333333335</v>
      </c>
      <c r="AC22" s="1005"/>
      <c r="AE22" s="687"/>
      <c r="AF22" s="682"/>
      <c r="AG22" s="682"/>
      <c r="AH22" s="682"/>
      <c r="AI22" s="682"/>
      <c r="AJ22" s="682"/>
      <c r="AK22" s="682"/>
      <c r="AL22" s="682"/>
      <c r="AM22" s="682"/>
      <c r="AN22" s="682"/>
      <c r="AO22" s="682"/>
      <c r="AP22" s="682"/>
      <c r="AQ22" s="682"/>
      <c r="AR22" s="682"/>
    </row>
    <row r="23" spans="2:73" s="111" customFormat="1" ht="14.25" hidden="1" customHeight="1">
      <c r="B23" s="239"/>
      <c r="C23" s="240" t="s">
        <v>539</v>
      </c>
      <c r="D23" s="207"/>
      <c r="E23" s="207"/>
      <c r="F23" s="241"/>
      <c r="G23" s="242"/>
      <c r="H23" s="241"/>
      <c r="I23" s="230" t="s">
        <v>525</v>
      </c>
      <c r="J23" s="632"/>
      <c r="K23" s="672">
        <v>45695</v>
      </c>
      <c r="L23" s="673">
        <v>181</v>
      </c>
      <c r="M23" s="672">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28" t="str">
        <f>C57</f>
        <v>Access &amp; Logistics Planning</v>
      </c>
      <c r="W23" s="677">
        <f>K57</f>
        <v>46057</v>
      </c>
      <c r="X23" s="678">
        <f t="shared" ref="X23:X27" si="3">Y23-W23</f>
        <v>5</v>
      </c>
      <c r="Y23" s="677">
        <f>M57</f>
        <v>46062</v>
      </c>
      <c r="Z23" s="678" t="s">
        <v>148</v>
      </c>
      <c r="AA23" s="680">
        <f>P57</f>
        <v>0</v>
      </c>
      <c r="AC23" s="1005"/>
      <c r="AJ23" s="682"/>
      <c r="AK23" s="682"/>
      <c r="AL23" s="682"/>
      <c r="AM23" s="682"/>
      <c r="AN23" s="682"/>
      <c r="AO23" s="682"/>
      <c r="AP23" s="682"/>
      <c r="AQ23" s="682"/>
      <c r="AR23" s="682"/>
    </row>
    <row r="24" spans="2:73" s="111" customFormat="1" ht="14.25" customHeight="1">
      <c r="B24" s="239"/>
      <c r="C24" s="240" t="s">
        <v>540</v>
      </c>
      <c r="D24" s="207"/>
      <c r="E24" s="207"/>
      <c r="F24" s="241"/>
      <c r="G24" s="242"/>
      <c r="H24" s="241"/>
      <c r="I24" s="230" t="s">
        <v>525</v>
      </c>
      <c r="J24" s="632"/>
      <c r="K24" s="672">
        <v>45695</v>
      </c>
      <c r="L24" s="673">
        <v>265</v>
      </c>
      <c r="M24" s="672">
        <f>WORKDAY.INTL(K24,L24,1,Data!$C$3:$C$57)</f>
        <v>46111</v>
      </c>
      <c r="N24" s="121"/>
      <c r="P24" s="244">
        <v>0.9</v>
      </c>
      <c r="Q24" s="244">
        <f t="shared" ca="1" si="2"/>
        <v>0.92067307692307687</v>
      </c>
      <c r="R24" s="121"/>
      <c r="T24" s="3"/>
      <c r="U24" s="170">
        <f t="shared" si="0"/>
        <v>70</v>
      </c>
      <c r="V24" s="628" t="str">
        <f>C83</f>
        <v>Energy Yield &amp; Performance Analysis</v>
      </c>
      <c r="W24" s="677">
        <f>K83</f>
        <v>45695</v>
      </c>
      <c r="X24" s="678">
        <f t="shared" si="3"/>
        <v>70</v>
      </c>
      <c r="Y24" s="677">
        <f>M83</f>
        <v>45765</v>
      </c>
      <c r="Z24" s="678" t="s">
        <v>148</v>
      </c>
      <c r="AA24" s="680">
        <f>P83</f>
        <v>1</v>
      </c>
      <c r="AC24" s="1005"/>
      <c r="AE24" s="682"/>
      <c r="AF24" s="682"/>
      <c r="AG24" s="682"/>
      <c r="AH24" s="682"/>
      <c r="AI24" s="682"/>
      <c r="AJ24" s="682"/>
      <c r="AK24" s="682"/>
      <c r="AL24" s="682"/>
      <c r="AM24" s="682"/>
      <c r="AN24" s="682"/>
      <c r="AO24" s="682"/>
      <c r="AP24" s="682"/>
      <c r="AQ24" s="682"/>
      <c r="AR24" s="682"/>
    </row>
    <row r="25" spans="2:73" s="111" customFormat="1" ht="14.25" hidden="1" customHeight="1">
      <c r="B25" s="239"/>
      <c r="C25" s="240" t="s">
        <v>541</v>
      </c>
      <c r="D25" s="207"/>
      <c r="E25" s="207"/>
      <c r="F25" s="241"/>
      <c r="G25" s="242"/>
      <c r="H25" s="241"/>
      <c r="I25" s="230" t="s">
        <v>525</v>
      </c>
      <c r="J25" s="632"/>
      <c r="K25" s="672">
        <v>45733</v>
      </c>
      <c r="L25" s="673">
        <v>9</v>
      </c>
      <c r="M25" s="672">
        <f>WORKDAY.INTL(K25,L25,1,Data!$C$3:$C$57)</f>
        <v>45747</v>
      </c>
      <c r="N25" s="121"/>
      <c r="P25" s="244">
        <v>1</v>
      </c>
      <c r="Q25" s="244">
        <f t="shared" ca="1" si="2"/>
        <v>1</v>
      </c>
      <c r="R25" s="121"/>
      <c r="T25" s="3"/>
      <c r="U25" s="170">
        <f t="shared" si="0"/>
        <v>42</v>
      </c>
      <c r="V25" s="628" t="str">
        <f>C89</f>
        <v>Mechanical &amp; Structural Design</v>
      </c>
      <c r="W25" s="677">
        <f>K89</f>
        <v>45717</v>
      </c>
      <c r="X25" s="678">
        <f t="shared" si="3"/>
        <v>42</v>
      </c>
      <c r="Y25" s="677">
        <f>M89</f>
        <v>45759</v>
      </c>
      <c r="Z25" s="678" t="s">
        <v>148</v>
      </c>
      <c r="AA25" s="680">
        <f>P89</f>
        <v>1</v>
      </c>
      <c r="AC25" s="1005"/>
      <c r="AE25" s="682"/>
      <c r="AF25" s="682"/>
      <c r="AG25" s="682"/>
      <c r="AH25" s="682"/>
      <c r="AI25" s="682"/>
      <c r="AJ25" s="682"/>
      <c r="AK25" s="682"/>
      <c r="AL25" s="682"/>
      <c r="AM25" s="682"/>
      <c r="AN25" s="682"/>
      <c r="AO25" s="682"/>
      <c r="AP25" s="682"/>
      <c r="AQ25" s="682"/>
      <c r="AR25" s="682"/>
    </row>
    <row r="26" spans="2:73" s="111" customFormat="1" ht="14.25" hidden="1" customHeight="1">
      <c r="B26" s="239"/>
      <c r="C26" s="240" t="s">
        <v>542</v>
      </c>
      <c r="D26" s="207"/>
      <c r="E26" s="207"/>
      <c r="F26" s="241"/>
      <c r="G26" s="242"/>
      <c r="H26" s="241"/>
      <c r="I26" s="230" t="s">
        <v>525</v>
      </c>
      <c r="J26" s="632"/>
      <c r="K26" s="672">
        <v>45733</v>
      </c>
      <c r="L26" s="673">
        <v>9</v>
      </c>
      <c r="M26" s="672">
        <f>WORKDAY.INTL(K26,L26,1,Data!$C$3:$C$57)</f>
        <v>45747</v>
      </c>
      <c r="N26" s="121"/>
      <c r="P26" s="244">
        <v>1</v>
      </c>
      <c r="Q26" s="244">
        <f t="shared" ca="1" si="2"/>
        <v>1</v>
      </c>
      <c r="R26" s="121"/>
      <c r="T26" s="3"/>
      <c r="U26" s="170">
        <f t="shared" si="0"/>
        <v>374</v>
      </c>
      <c r="V26" s="628" t="str">
        <f>C98</f>
        <v>Electrical System Design</v>
      </c>
      <c r="W26" s="677">
        <f>K98</f>
        <v>45695</v>
      </c>
      <c r="X26" s="678">
        <f t="shared" si="3"/>
        <v>374</v>
      </c>
      <c r="Y26" s="677">
        <f>M98</f>
        <v>46069</v>
      </c>
      <c r="Z26" s="678" t="s">
        <v>148</v>
      </c>
      <c r="AA26" s="680">
        <f>P98</f>
        <v>1</v>
      </c>
      <c r="AC26" s="1005"/>
      <c r="AE26" s="682"/>
      <c r="AF26" s="682"/>
      <c r="AG26" s="682"/>
      <c r="AH26" s="682"/>
      <c r="AI26" s="682"/>
      <c r="AJ26" s="682"/>
      <c r="AK26" s="682"/>
      <c r="AL26" s="682"/>
      <c r="AM26" s="682"/>
      <c r="AN26" s="682"/>
      <c r="AO26" s="682"/>
      <c r="AP26" s="682"/>
      <c r="AQ26" s="682"/>
      <c r="AR26" s="682"/>
    </row>
    <row r="27" spans="2:73" s="111" customFormat="1" ht="14.25" hidden="1" customHeight="1">
      <c r="B27" s="239"/>
      <c r="C27" s="240" t="s">
        <v>543</v>
      </c>
      <c r="D27" s="207"/>
      <c r="E27" s="207"/>
      <c r="F27" s="241"/>
      <c r="G27" s="242"/>
      <c r="H27" s="241"/>
      <c r="I27" s="230" t="s">
        <v>525</v>
      </c>
      <c r="J27" s="632"/>
      <c r="K27" s="672">
        <v>45880</v>
      </c>
      <c r="L27" s="673">
        <v>5</v>
      </c>
      <c r="M27" s="672">
        <f>WORKDAY.INTL(K27,L27,1,Data!$C$3:$C$57)</f>
        <v>45887</v>
      </c>
      <c r="N27" s="121"/>
      <c r="P27" s="244">
        <v>1</v>
      </c>
      <c r="Q27" s="244">
        <f t="shared" ca="1" si="2"/>
        <v>1</v>
      </c>
      <c r="R27" s="685" t="s">
        <v>544</v>
      </c>
      <c r="T27" s="3"/>
      <c r="U27" s="170">
        <f t="shared" si="0"/>
        <v>61.023529411764713</v>
      </c>
      <c r="V27" s="628" t="str">
        <f>C117</f>
        <v>Procurement &amp; Contracting</v>
      </c>
      <c r="W27" s="677">
        <f>K117</f>
        <v>45838</v>
      </c>
      <c r="X27" s="678">
        <f t="shared" si="3"/>
        <v>364</v>
      </c>
      <c r="Y27" s="677">
        <f>M117</f>
        <v>46202</v>
      </c>
      <c r="Z27" s="678" t="s">
        <v>148</v>
      </c>
      <c r="AA27" s="680">
        <f>P117</f>
        <v>0.16764705882352943</v>
      </c>
      <c r="AC27" s="1005"/>
      <c r="AE27" s="682"/>
      <c r="AF27" s="682"/>
      <c r="AG27" s="682"/>
      <c r="AH27" s="682"/>
      <c r="AI27" s="682"/>
      <c r="AJ27" s="682"/>
      <c r="AK27" s="682"/>
      <c r="AL27" s="682"/>
      <c r="AM27" s="682"/>
      <c r="AN27" s="682"/>
      <c r="AO27" s="682"/>
      <c r="AP27" s="682"/>
      <c r="AQ27" s="682"/>
      <c r="AR27" s="682"/>
    </row>
    <row r="28" spans="2:73" s="111" customFormat="1" ht="14.25" hidden="1" customHeight="1">
      <c r="B28" s="239"/>
      <c r="C28" s="240" t="s">
        <v>545</v>
      </c>
      <c r="D28" s="207"/>
      <c r="E28" s="207"/>
      <c r="F28" s="241"/>
      <c r="G28" s="242"/>
      <c r="H28" s="241"/>
      <c r="I28" s="230"/>
      <c r="J28" s="632"/>
      <c r="K28" s="672">
        <v>45883</v>
      </c>
      <c r="L28" s="673">
        <v>5</v>
      </c>
      <c r="M28" s="672">
        <f>WORKDAY.INTL(K28,L28,1,Data!$C$3:$C$57)</f>
        <v>45890</v>
      </c>
      <c r="N28" s="121"/>
      <c r="P28" s="244">
        <v>1</v>
      </c>
      <c r="Q28" s="244">
        <f t="shared" ca="1" si="2"/>
        <v>1</v>
      </c>
      <c r="R28" s="685" t="s">
        <v>544</v>
      </c>
      <c r="T28" s="3"/>
      <c r="U28" s="170">
        <f t="shared" si="0"/>
        <v>0</v>
      </c>
      <c r="V28" s="628" t="str">
        <f>C136</f>
        <v>DC Scope - Ground Mount</v>
      </c>
      <c r="W28" s="677">
        <f>K136</f>
        <v>46134</v>
      </c>
      <c r="X28" s="678">
        <f t="shared" si="1"/>
        <v>145</v>
      </c>
      <c r="Y28" s="677">
        <f>M136</f>
        <v>46279</v>
      </c>
      <c r="Z28" s="802">
        <f>(Y28-W28)/7</f>
        <v>20.714285714285715</v>
      </c>
      <c r="AA28" s="680">
        <f>P136</f>
        <v>0</v>
      </c>
      <c r="AC28" s="1005"/>
      <c r="AE28" s="682"/>
      <c r="AF28" s="682"/>
      <c r="AG28" s="682"/>
      <c r="AH28" s="682"/>
      <c r="AI28" s="682"/>
      <c r="AJ28" s="682"/>
      <c r="AK28" s="682"/>
      <c r="AL28" s="682"/>
      <c r="AM28" s="682"/>
      <c r="AN28" s="682"/>
      <c r="AO28" s="682"/>
      <c r="AP28" s="682"/>
      <c r="AQ28" s="682"/>
      <c r="AR28" s="682"/>
    </row>
    <row r="29" spans="2:73" s="111" customFormat="1" ht="14.25" hidden="1" customHeight="1">
      <c r="B29" s="239"/>
      <c r="C29" s="240" t="s">
        <v>546</v>
      </c>
      <c r="D29" s="207"/>
      <c r="E29" s="207"/>
      <c r="F29" s="241"/>
      <c r="G29" s="242"/>
      <c r="H29" s="241"/>
      <c r="I29" s="230" t="s">
        <v>525</v>
      </c>
      <c r="J29" s="632"/>
      <c r="K29" s="672"/>
      <c r="L29" s="673"/>
      <c r="M29" s="672"/>
      <c r="N29" s="121"/>
      <c r="P29" s="244">
        <v>1</v>
      </c>
      <c r="Q29" s="244"/>
      <c r="R29" s="121"/>
      <c r="T29" s="3"/>
      <c r="U29" s="170">
        <f t="shared" si="0"/>
        <v>0</v>
      </c>
      <c r="V29" s="628" t="str">
        <f>C179</f>
        <v>DC Scope - Carport</v>
      </c>
      <c r="W29" s="677">
        <f>K179</f>
        <v>46191</v>
      </c>
      <c r="X29" s="678">
        <f t="shared" si="1"/>
        <v>57</v>
      </c>
      <c r="Y29" s="677">
        <f>M179</f>
        <v>46248</v>
      </c>
      <c r="Z29" s="802">
        <f t="shared" ref="Z29:Z34" si="4">(Y29-W29)/7</f>
        <v>8.1428571428571423</v>
      </c>
      <c r="AA29" s="680">
        <f>P179</f>
        <v>0</v>
      </c>
      <c r="AC29" s="1005"/>
      <c r="AE29" s="682"/>
      <c r="AF29" s="682"/>
      <c r="AG29" s="682"/>
      <c r="AH29" s="682"/>
      <c r="AI29" s="682"/>
      <c r="AJ29" s="682"/>
      <c r="AK29" s="682"/>
      <c r="AL29" s="682"/>
      <c r="AM29" s="682"/>
      <c r="AN29" s="682"/>
      <c r="AO29" s="682"/>
      <c r="AP29" s="682"/>
      <c r="AQ29" s="682"/>
      <c r="AR29" s="682"/>
    </row>
    <row r="30" spans="2:73" s="111" customFormat="1" ht="14.25" hidden="1" customHeight="1">
      <c r="B30" s="239"/>
      <c r="C30" s="240" t="s">
        <v>547</v>
      </c>
      <c r="D30" s="207"/>
      <c r="E30" s="207"/>
      <c r="F30" s="241"/>
      <c r="G30" s="242"/>
      <c r="H30" s="241"/>
      <c r="I30" s="230" t="s">
        <v>525</v>
      </c>
      <c r="J30" s="632"/>
      <c r="K30" s="672"/>
      <c r="L30" s="673"/>
      <c r="M30" s="672"/>
      <c r="N30" s="121"/>
      <c r="P30" s="244">
        <v>1</v>
      </c>
      <c r="Q30" s="244"/>
      <c r="R30" s="685" t="s">
        <v>548</v>
      </c>
      <c r="T30" s="3"/>
      <c r="U30" s="170">
        <f t="shared" si="0"/>
        <v>0</v>
      </c>
      <c r="V30" s="628" t="str">
        <f>C199</f>
        <v>DC Scope - Rooftop</v>
      </c>
      <c r="W30" s="803">
        <f>K199</f>
        <v>46134</v>
      </c>
      <c r="X30" s="678">
        <f t="shared" si="1"/>
        <v>124</v>
      </c>
      <c r="Y30" s="677">
        <f>M199</f>
        <v>46258</v>
      </c>
      <c r="Z30" s="802">
        <f t="shared" si="4"/>
        <v>17.714285714285715</v>
      </c>
      <c r="AA30" s="680">
        <f>P199</f>
        <v>0</v>
      </c>
      <c r="AC30" s="1005"/>
      <c r="AE30" s="682"/>
      <c r="AF30" s="682"/>
      <c r="AG30" s="682"/>
      <c r="AH30" s="682"/>
      <c r="AI30" s="682"/>
      <c r="AJ30" s="682"/>
      <c r="AK30" s="682"/>
      <c r="AL30" s="682"/>
      <c r="AM30" s="682"/>
      <c r="AN30" s="682"/>
      <c r="AO30" s="682"/>
      <c r="AP30" s="682"/>
      <c r="AQ30" s="682"/>
      <c r="AR30" s="682"/>
    </row>
    <row r="31" spans="2:73" s="111" customFormat="1" ht="14.25" hidden="1" customHeight="1">
      <c r="B31" s="239"/>
      <c r="C31" s="240" t="s">
        <v>549</v>
      </c>
      <c r="D31" s="207"/>
      <c r="E31" s="207"/>
      <c r="F31" s="241"/>
      <c r="G31" s="242"/>
      <c r="H31" s="241"/>
      <c r="I31" s="230" t="s">
        <v>525</v>
      </c>
      <c r="J31" s="632"/>
      <c r="K31" s="672"/>
      <c r="L31" s="673"/>
      <c r="M31" s="672"/>
      <c r="N31" s="121"/>
      <c r="P31" s="244">
        <v>1</v>
      </c>
      <c r="Q31" s="244"/>
      <c r="R31" s="121"/>
      <c r="T31" s="3"/>
      <c r="U31" s="170">
        <f t="shared" si="0"/>
        <v>0</v>
      </c>
      <c r="V31" s="628" t="str">
        <f>C223</f>
        <v>Extras &amp; Civil Scope</v>
      </c>
      <c r="W31" s="677">
        <f>K223</f>
        <v>46140</v>
      </c>
      <c r="X31" s="678">
        <f t="shared" si="1"/>
        <v>84</v>
      </c>
      <c r="Y31" s="677">
        <f>M223</f>
        <v>46224</v>
      </c>
      <c r="Z31" s="802">
        <f t="shared" si="4"/>
        <v>12</v>
      </c>
      <c r="AA31" s="680">
        <f>P223</f>
        <v>0</v>
      </c>
      <c r="AC31" s="1005"/>
    </row>
    <row r="32" spans="2:73" s="111" customFormat="1" ht="14.25" hidden="1" customHeight="1">
      <c r="B32" s="239"/>
      <c r="C32" s="240" t="s">
        <v>550</v>
      </c>
      <c r="D32" s="207"/>
      <c r="E32" s="207"/>
      <c r="F32" s="241"/>
      <c r="G32" s="242"/>
      <c r="H32" s="241"/>
      <c r="I32" s="230" t="s">
        <v>525</v>
      </c>
      <c r="J32" s="632"/>
      <c r="K32" s="672">
        <v>45736</v>
      </c>
      <c r="L32" s="673">
        <v>1</v>
      </c>
      <c r="M32" s="672">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28" t="str">
        <f>C235</f>
        <v>AC Scope</v>
      </c>
      <c r="W32" s="677">
        <f>K235</f>
        <v>46164</v>
      </c>
      <c r="X32" s="678">
        <f t="shared" si="1"/>
        <v>101</v>
      </c>
      <c r="Y32" s="677">
        <f>M235</f>
        <v>46265</v>
      </c>
      <c r="Z32" s="802">
        <f t="shared" si="4"/>
        <v>14.428571428571429</v>
      </c>
      <c r="AA32" s="680">
        <f>P235</f>
        <v>0</v>
      </c>
      <c r="AC32" s="1005"/>
    </row>
    <row r="33" spans="2:73" s="111" customFormat="1" ht="14.25" customHeight="1">
      <c r="B33" s="231"/>
      <c r="C33" s="207"/>
      <c r="D33" s="207"/>
      <c r="E33" s="207"/>
      <c r="F33" s="232"/>
      <c r="G33" s="232"/>
      <c r="H33" s="233"/>
      <c r="I33" s="230"/>
      <c r="J33" s="632"/>
      <c r="K33" s="674"/>
      <c r="L33" s="674"/>
      <c r="M33" s="675"/>
      <c r="N33" s="121"/>
      <c r="R33" s="121"/>
      <c r="T33" s="3"/>
      <c r="U33" s="170">
        <f t="shared" si="0"/>
        <v>0</v>
      </c>
      <c r="V33" s="628" t="str">
        <f>C301</f>
        <v xml:space="preserve">Commissioning </v>
      </c>
      <c r="W33" s="677">
        <f>K301</f>
        <v>46279</v>
      </c>
      <c r="X33" s="678">
        <f t="shared" si="1"/>
        <v>22</v>
      </c>
      <c r="Y33" s="677">
        <f>M301</f>
        <v>46301</v>
      </c>
      <c r="Z33" s="802">
        <f t="shared" si="4"/>
        <v>3.1428571428571428</v>
      </c>
      <c r="AA33" s="680">
        <f>P301</f>
        <v>0</v>
      </c>
      <c r="AC33" s="1005"/>
    </row>
    <row r="34" spans="2:73" s="111" customFormat="1" ht="14.15" customHeight="1">
      <c r="B34" s="235">
        <v>2</v>
      </c>
      <c r="C34" s="236" t="s">
        <v>551</v>
      </c>
      <c r="D34" s="211"/>
      <c r="E34" s="211"/>
      <c r="F34" s="237"/>
      <c r="G34" s="238"/>
      <c r="H34" s="237"/>
      <c r="I34" s="212" t="s">
        <v>523</v>
      </c>
      <c r="J34" s="632"/>
      <c r="K34" s="670">
        <f>MIN(K35:K55)</f>
        <v>45695</v>
      </c>
      <c r="L34" s="671">
        <f>NETWORKDAYS(K34,M34,Data!$C$3:$C$57)</f>
        <v>253</v>
      </c>
      <c r="M34" s="670">
        <f>MAX(M35:M55)</f>
        <v>46092</v>
      </c>
      <c r="N34" s="121" t="s">
        <v>94</v>
      </c>
      <c r="O34" s="113"/>
      <c r="P34" s="351">
        <f>AVERAGE(P35:P55)</f>
        <v>0.93333333333333335</v>
      </c>
      <c r="Q34" s="351">
        <f ca="1">AVERAGE(Q35:Q55)</f>
        <v>0.97677769302483264</v>
      </c>
      <c r="R34" s="121"/>
      <c r="T34" s="3"/>
      <c r="U34" s="170">
        <f t="shared" si="0"/>
        <v>0</v>
      </c>
      <c r="V34" s="628" t="str">
        <f>C317</f>
        <v>Off Taker Sign Off (Facility Completion)</v>
      </c>
      <c r="W34" s="677">
        <f>K317</f>
        <v>46301</v>
      </c>
      <c r="X34" s="678">
        <f t="shared" si="1"/>
        <v>30</v>
      </c>
      <c r="Y34" s="677">
        <f>M317</f>
        <v>46331</v>
      </c>
      <c r="Z34" s="802">
        <f t="shared" si="4"/>
        <v>4.2857142857142856</v>
      </c>
      <c r="AA34" s="680">
        <f>P317</f>
        <v>0</v>
      </c>
      <c r="AC34" s="1005"/>
    </row>
    <row r="35" spans="2:73" s="113" customFormat="1" ht="14.25" customHeight="1">
      <c r="B35" s="590"/>
      <c r="C35" s="591" t="s">
        <v>552</v>
      </c>
      <c r="D35" s="207"/>
      <c r="E35" s="207"/>
      <c r="F35" s="592"/>
      <c r="G35" s="593"/>
      <c r="H35" s="592"/>
      <c r="I35" s="230" t="s">
        <v>525</v>
      </c>
      <c r="J35" s="632"/>
      <c r="K35" s="672">
        <v>45695</v>
      </c>
      <c r="L35" s="673">
        <v>1</v>
      </c>
      <c r="M35" s="672">
        <f>WORKDAY.INTL(K35,L35,1,Data!$C$3:$C$57)</f>
        <v>45698</v>
      </c>
      <c r="N35" s="121"/>
      <c r="O35" s="111"/>
      <c r="P35" s="244">
        <v>1</v>
      </c>
      <c r="Q35" s="244">
        <f t="shared" ref="Q35:Q37" ca="1" si="6">_xlfn.LET(
  _xlpm.s,VALUE($K35),
  _xlpm.e,VALUE($M35),
  IF(OR(_xlpm.s="",_xlpm.e=""),"", IF(_xlpm.e&lt;=_xlpm.s, IF(TODAY()&gt;=_xlpm.e,1,0), MAX(0,MIN(1,(TODAY()-_xlpm.s)/(_xlpm.e-_xlpm.s)))))
)</f>
        <v>1</v>
      </c>
      <c r="R35" s="121"/>
      <c r="S35" s="111"/>
      <c r="T35" s="122"/>
      <c r="U35" s="170">
        <f t="shared" si="0"/>
        <v>0</v>
      </c>
      <c r="V35" s="628" t="str">
        <f>C321</f>
        <v>O&amp;M</v>
      </c>
      <c r="W35" s="677">
        <f>K321</f>
        <v>46331</v>
      </c>
      <c r="X35" s="678">
        <f t="shared" si="1"/>
        <v>365</v>
      </c>
      <c r="Y35" s="677">
        <f>M321</f>
        <v>46696</v>
      </c>
      <c r="Z35" s="678" t="s">
        <v>148</v>
      </c>
      <c r="AA35" s="680">
        <f>P321</f>
        <v>0</v>
      </c>
      <c r="AB35" s="111"/>
      <c r="AC35" s="1006"/>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c r="B36" s="590"/>
      <c r="C36" s="591" t="s">
        <v>553</v>
      </c>
      <c r="D36" s="207"/>
      <c r="E36" s="207"/>
      <c r="F36" s="592"/>
      <c r="G36" s="593"/>
      <c r="H36" s="592"/>
      <c r="I36" s="230" t="s">
        <v>525</v>
      </c>
      <c r="J36" s="632"/>
      <c r="K36" s="672">
        <v>45695</v>
      </c>
      <c r="L36" s="673">
        <v>1</v>
      </c>
      <c r="M36" s="672">
        <f>WORKDAY.INTL(K36,L36,1,Data!$C$3:$C$57)</f>
        <v>45698</v>
      </c>
      <c r="N36" s="121"/>
      <c r="P36" s="244">
        <v>1</v>
      </c>
      <c r="Q36" s="244">
        <f t="shared" ca="1" si="6"/>
        <v>1</v>
      </c>
      <c r="R36" s="121"/>
      <c r="T36" s="123"/>
      <c r="U36" s="686"/>
    </row>
    <row r="37" spans="2:73" s="111" customFormat="1" ht="14.25" customHeight="1">
      <c r="B37" s="590"/>
      <c r="C37" s="591" t="s">
        <v>554</v>
      </c>
      <c r="D37" s="207"/>
      <c r="E37" s="207"/>
      <c r="F37" s="592"/>
      <c r="G37" s="593"/>
      <c r="H37" s="592"/>
      <c r="I37" s="230" t="s">
        <v>525</v>
      </c>
      <c r="J37" s="632"/>
      <c r="K37" s="672"/>
      <c r="L37" s="673"/>
      <c r="M37" s="672"/>
      <c r="N37" s="121"/>
      <c r="P37" s="244">
        <v>1</v>
      </c>
      <c r="Q37" s="244">
        <f t="shared" ca="1" si="6"/>
        <v>1</v>
      </c>
      <c r="R37" s="121"/>
      <c r="T37" s="123"/>
      <c r="U37" s="686"/>
      <c r="V37" s="120"/>
      <c r="W37" s="120"/>
      <c r="X37" s="120"/>
    </row>
    <row r="38" spans="2:73" s="111" customFormat="1" ht="14.25" customHeight="1">
      <c r="B38" s="590"/>
      <c r="C38" s="591" t="s">
        <v>555</v>
      </c>
      <c r="D38" s="207"/>
      <c r="E38" s="207"/>
      <c r="F38" s="592"/>
      <c r="G38" s="593"/>
      <c r="H38" s="592"/>
      <c r="I38" s="230" t="s">
        <v>525</v>
      </c>
      <c r="J38" s="632"/>
      <c r="K38" s="672">
        <v>45735</v>
      </c>
      <c r="L38" s="673">
        <v>150</v>
      </c>
      <c r="M38" s="672">
        <f>K38+L38</f>
        <v>45885</v>
      </c>
      <c r="N38" s="121"/>
      <c r="P38" s="244">
        <v>1</v>
      </c>
      <c r="Q38" s="244">
        <f t="shared" ref="Q38:Q52" ca="1" si="7">_xlfn.LET(
  _xlpm.s,VALUE($K38),
  _xlpm.e,VALUE($M38),
  IF(OR(_xlpm.s="",_xlpm.e=""),"", IF(_xlpm.e&lt;=_xlpm.s, IF(TODAY()&gt;=_xlpm.e,1,0), MAX(0,MIN(1,(TODAY()-_xlpm.s)/(_xlpm.e-_xlpm.s)))))
)</f>
        <v>1</v>
      </c>
      <c r="R38" s="121"/>
      <c r="T38" s="123"/>
      <c r="U38" s="686"/>
      <c r="V38" s="120"/>
      <c r="W38" s="120"/>
      <c r="X38" s="120"/>
    </row>
    <row r="39" spans="2:73" s="111" customFormat="1" ht="14.25" customHeight="1">
      <c r="B39" s="590"/>
      <c r="C39" s="591" t="s">
        <v>556</v>
      </c>
      <c r="D39" s="207"/>
      <c r="E39" s="207"/>
      <c r="F39" s="592"/>
      <c r="G39" s="593"/>
      <c r="H39" s="592"/>
      <c r="I39" s="230" t="s">
        <v>525</v>
      </c>
      <c r="J39" s="632"/>
      <c r="K39" s="672">
        <v>45695</v>
      </c>
      <c r="L39" s="673">
        <v>1</v>
      </c>
      <c r="M39" s="672">
        <f>WORKDAY.INTL(K39,L39,1,Data!$C$3:$C$57)</f>
        <v>45698</v>
      </c>
      <c r="N39" s="121"/>
      <c r="P39" s="244">
        <v>1</v>
      </c>
      <c r="Q39" s="244">
        <f t="shared" ca="1" si="7"/>
        <v>1</v>
      </c>
      <c r="R39" s="121"/>
      <c r="T39" s="123"/>
      <c r="U39" s="686"/>
      <c r="V39" s="120"/>
      <c r="W39" s="120"/>
      <c r="X39" s="120"/>
    </row>
    <row r="40" spans="2:73" s="111" customFormat="1" ht="14.25" customHeight="1">
      <c r="B40" s="590"/>
      <c r="C40" s="591" t="s">
        <v>557</v>
      </c>
      <c r="D40" s="207"/>
      <c r="E40" s="207"/>
      <c r="F40" s="592"/>
      <c r="G40" s="593"/>
      <c r="H40" s="592"/>
      <c r="I40" s="230" t="s">
        <v>525</v>
      </c>
      <c r="J40" s="632"/>
      <c r="K40" s="672">
        <v>45715</v>
      </c>
      <c r="L40" s="673">
        <v>163</v>
      </c>
      <c r="M40" s="672">
        <f>WORKDAY.INTL(K40,L40,1,Data!$C$3:$C$57)</f>
        <v>45952</v>
      </c>
      <c r="N40" s="121" t="s">
        <v>162</v>
      </c>
      <c r="P40" s="244">
        <v>1</v>
      </c>
      <c r="Q40" s="244">
        <f t="shared" ca="1" si="7"/>
        <v>1</v>
      </c>
      <c r="R40" s="121"/>
      <c r="T40" s="123"/>
      <c r="U40" s="120"/>
      <c r="V40" s="120"/>
      <c r="W40" s="120"/>
      <c r="X40" s="120"/>
    </row>
    <row r="41" spans="2:73" s="111" customFormat="1" ht="14.25" customHeight="1">
      <c r="B41" s="590"/>
      <c r="C41" s="591" t="s">
        <v>558</v>
      </c>
      <c r="D41" s="207"/>
      <c r="E41" s="207"/>
      <c r="F41" s="592"/>
      <c r="G41" s="593"/>
      <c r="H41" s="592"/>
      <c r="I41" s="230"/>
      <c r="J41" s="632"/>
      <c r="K41" s="672"/>
      <c r="L41" s="673"/>
      <c r="M41" s="672"/>
      <c r="N41" s="121"/>
      <c r="P41" s="244"/>
      <c r="Q41" s="244"/>
      <c r="R41" s="121"/>
      <c r="T41" s="123"/>
      <c r="U41" s="120"/>
      <c r="V41" s="120"/>
      <c r="W41" s="120"/>
      <c r="X41" s="120"/>
    </row>
    <row r="42" spans="2:73" s="111" customFormat="1" ht="14.25" customHeight="1">
      <c r="B42" s="590"/>
      <c r="C42" s="591" t="s">
        <v>559</v>
      </c>
      <c r="D42" s="207"/>
      <c r="E42" s="207"/>
      <c r="F42" s="592"/>
      <c r="G42" s="593"/>
      <c r="H42" s="592"/>
      <c r="I42" s="230"/>
      <c r="J42" s="632"/>
      <c r="K42" s="672"/>
      <c r="L42" s="673"/>
      <c r="M42" s="672"/>
      <c r="N42" s="121"/>
      <c r="P42" s="244"/>
      <c r="Q42" s="244"/>
      <c r="R42" s="121"/>
      <c r="T42" s="123"/>
      <c r="U42" s="120"/>
      <c r="V42" s="120"/>
      <c r="W42" s="120"/>
      <c r="X42" s="120"/>
    </row>
    <row r="43" spans="2:73" s="111" customFormat="1" ht="14.25" customHeight="1">
      <c r="B43" s="590"/>
      <c r="C43" s="591"/>
      <c r="D43" s="207"/>
      <c r="E43" s="207"/>
      <c r="F43" s="592"/>
      <c r="G43" s="593"/>
      <c r="H43" s="592"/>
      <c r="I43" s="230"/>
      <c r="J43" s="632"/>
      <c r="K43" s="672"/>
      <c r="L43" s="673"/>
      <c r="M43" s="672"/>
      <c r="N43" s="121"/>
      <c r="P43" s="244"/>
      <c r="Q43" s="244"/>
      <c r="R43" s="121"/>
      <c r="T43" s="123"/>
      <c r="U43" s="120"/>
      <c r="V43" s="120"/>
      <c r="W43" s="120"/>
      <c r="X43" s="120"/>
    </row>
    <row r="44" spans="2:73" s="111" customFormat="1" ht="14.25" customHeight="1">
      <c r="B44" s="590"/>
      <c r="C44" s="591"/>
      <c r="D44" s="207"/>
      <c r="E44" s="207"/>
      <c r="F44" s="592"/>
      <c r="G44" s="593"/>
      <c r="H44" s="592"/>
      <c r="I44" s="230"/>
      <c r="J44" s="632"/>
      <c r="K44" s="672"/>
      <c r="L44" s="673"/>
      <c r="M44" s="672"/>
      <c r="N44" s="121"/>
      <c r="P44" s="244"/>
      <c r="Q44" s="244"/>
      <c r="R44" s="121"/>
      <c r="T44" s="123"/>
      <c r="U44" s="120"/>
      <c r="V44" s="120"/>
      <c r="W44" s="120"/>
      <c r="X44" s="120"/>
    </row>
    <row r="45" spans="2:73" s="111" customFormat="1" ht="14.25" customHeight="1">
      <c r="B45" s="590"/>
      <c r="C45" s="591" t="s">
        <v>560</v>
      </c>
      <c r="D45" s="207"/>
      <c r="E45" s="207"/>
      <c r="F45" s="592"/>
      <c r="G45" s="593"/>
      <c r="H45" s="592"/>
      <c r="I45" s="230" t="s">
        <v>525</v>
      </c>
      <c r="J45" s="632"/>
      <c r="K45" s="672">
        <v>45931</v>
      </c>
      <c r="L45" s="673">
        <v>90</v>
      </c>
      <c r="M45" s="672">
        <f>WORKDAY.INTL(K45,L45,1,Data!$C$3:$C$57)</f>
        <v>46092</v>
      </c>
      <c r="N45" s="121" t="s">
        <v>162</v>
      </c>
      <c r="P45" s="244">
        <v>0.75</v>
      </c>
      <c r="Q45" s="244">
        <f t="shared" ca="1" si="7"/>
        <v>0.91304347826086951</v>
      </c>
      <c r="R45" s="121"/>
      <c r="T45" s="123"/>
      <c r="U45" s="120"/>
      <c r="V45" s="120"/>
      <c r="W45" s="120"/>
      <c r="X45" s="120"/>
    </row>
    <row r="46" spans="2:73" s="111" customFormat="1" ht="14.25" customHeight="1">
      <c r="B46" s="590"/>
      <c r="C46" s="591" t="s">
        <v>561</v>
      </c>
      <c r="D46" s="207"/>
      <c r="E46" s="207"/>
      <c r="F46" s="592"/>
      <c r="G46" s="593"/>
      <c r="H46" s="592"/>
      <c r="I46" s="230" t="s">
        <v>525</v>
      </c>
      <c r="J46" s="632"/>
      <c r="K46" s="672">
        <v>45931</v>
      </c>
      <c r="L46" s="673">
        <v>90</v>
      </c>
      <c r="M46" s="672">
        <f>WORKDAY.INTL(K46,L46,1,Data!$C$3:$C$57)</f>
        <v>46092</v>
      </c>
      <c r="N46" s="121"/>
      <c r="P46" s="244">
        <v>0.75</v>
      </c>
      <c r="Q46" s="244">
        <f t="shared" ca="1" si="7"/>
        <v>0.91304347826086951</v>
      </c>
      <c r="R46" s="121"/>
      <c r="T46" s="123"/>
      <c r="U46" s="120"/>
    </row>
    <row r="47" spans="2:73" s="111" customFormat="1" ht="14.25" customHeight="1">
      <c r="B47" s="590"/>
      <c r="C47" s="591" t="s">
        <v>562</v>
      </c>
      <c r="D47" s="207"/>
      <c r="E47" s="207"/>
      <c r="F47" s="592"/>
      <c r="G47" s="593"/>
      <c r="H47" s="592"/>
      <c r="I47" s="230"/>
      <c r="J47" s="632"/>
      <c r="K47" s="672"/>
      <c r="L47" s="673"/>
      <c r="M47" s="672"/>
      <c r="N47" s="121"/>
      <c r="P47" s="244"/>
      <c r="Q47" s="244"/>
      <c r="R47" s="121"/>
      <c r="T47" s="123"/>
      <c r="U47" s="120"/>
    </row>
    <row r="48" spans="2:73" s="111" customFormat="1" ht="14.25" customHeight="1">
      <c r="B48" s="590"/>
      <c r="C48" s="591" t="s">
        <v>563</v>
      </c>
      <c r="D48" s="207"/>
      <c r="E48" s="207"/>
      <c r="F48" s="592"/>
      <c r="G48" s="593"/>
      <c r="H48" s="592"/>
      <c r="I48" s="230"/>
      <c r="J48" s="632"/>
      <c r="K48" s="672"/>
      <c r="L48" s="673"/>
      <c r="M48" s="672"/>
      <c r="N48" s="121"/>
      <c r="P48" s="244"/>
      <c r="Q48" s="244"/>
      <c r="R48" s="121"/>
      <c r="T48" s="123"/>
      <c r="U48" s="120"/>
    </row>
    <row r="49" spans="2:29" s="111" customFormat="1" ht="14.25" customHeight="1">
      <c r="B49" s="590"/>
      <c r="C49" s="591"/>
      <c r="D49" s="207"/>
      <c r="E49" s="207"/>
      <c r="F49" s="592"/>
      <c r="G49" s="593"/>
      <c r="H49" s="592"/>
      <c r="I49" s="230"/>
      <c r="J49" s="632"/>
      <c r="K49" s="672"/>
      <c r="L49" s="673"/>
      <c r="M49" s="672"/>
      <c r="N49" s="121"/>
      <c r="P49" s="244"/>
      <c r="Q49" s="244"/>
      <c r="R49" s="121"/>
      <c r="T49" s="123"/>
      <c r="U49" s="120"/>
    </row>
    <row r="50" spans="2:29" s="111" customFormat="1" ht="14.25" customHeight="1">
      <c r="B50" s="590"/>
      <c r="C50" s="591"/>
      <c r="D50" s="207"/>
      <c r="E50" s="207"/>
      <c r="F50" s="592"/>
      <c r="G50" s="593"/>
      <c r="H50" s="592"/>
      <c r="I50" s="230"/>
      <c r="J50" s="632"/>
      <c r="K50" s="672"/>
      <c r="L50" s="673"/>
      <c r="M50" s="672"/>
      <c r="N50" s="121"/>
      <c r="P50" s="244"/>
      <c r="Q50" s="244"/>
      <c r="R50" s="121"/>
      <c r="T50" s="123"/>
      <c r="U50" s="120"/>
    </row>
    <row r="51" spans="2:29" s="111" customFormat="1" ht="14.25" customHeight="1">
      <c r="B51" s="590"/>
      <c r="C51" s="591"/>
      <c r="D51" s="207"/>
      <c r="E51" s="207"/>
      <c r="F51" s="592"/>
      <c r="G51" s="593"/>
      <c r="H51" s="592"/>
      <c r="I51" s="230"/>
      <c r="J51" s="632"/>
      <c r="K51" s="672"/>
      <c r="L51" s="673"/>
      <c r="M51" s="672"/>
      <c r="N51" s="121"/>
      <c r="P51" s="244"/>
      <c r="Q51" s="244"/>
      <c r="R51" s="121"/>
      <c r="T51" s="123"/>
      <c r="U51" s="120"/>
    </row>
    <row r="52" spans="2:29" s="111" customFormat="1" ht="14.25" customHeight="1">
      <c r="B52" s="590"/>
      <c r="C52" s="591" t="s">
        <v>564</v>
      </c>
      <c r="D52" s="207"/>
      <c r="E52" s="207"/>
      <c r="F52" s="592"/>
      <c r="G52" s="593"/>
      <c r="H52" s="592"/>
      <c r="I52" s="230"/>
      <c r="J52" s="632"/>
      <c r="K52" s="672">
        <v>46023</v>
      </c>
      <c r="L52" s="673">
        <v>30</v>
      </c>
      <c r="M52" s="672">
        <f>WORKDAY.INTL(K52,L52,1,Data!$C$3:$C$57)</f>
        <v>46080</v>
      </c>
      <c r="N52" s="121"/>
      <c r="P52" s="244">
        <v>0.9</v>
      </c>
      <c r="Q52" s="244">
        <f t="shared" ca="1" si="7"/>
        <v>0.96491228070175439</v>
      </c>
      <c r="R52" s="121"/>
      <c r="T52" s="123"/>
      <c r="U52" s="120"/>
    </row>
    <row r="53" spans="2:29" s="111" customFormat="1" ht="14.25" customHeight="1">
      <c r="B53" s="590"/>
      <c r="C53" s="591"/>
      <c r="D53" s="207"/>
      <c r="E53" s="207"/>
      <c r="F53" s="592"/>
      <c r="G53" s="593"/>
      <c r="H53" s="592"/>
      <c r="I53" s="230"/>
      <c r="J53" s="632"/>
      <c r="K53" s="672"/>
      <c r="L53" s="673"/>
      <c r="M53" s="672"/>
      <c r="N53" s="121"/>
      <c r="P53" s="244"/>
      <c r="Q53" s="244"/>
      <c r="R53" s="121"/>
      <c r="T53" s="123"/>
      <c r="U53" s="120"/>
    </row>
    <row r="54" spans="2:29" s="111" customFormat="1" ht="14.25" customHeight="1">
      <c r="B54" s="590"/>
      <c r="C54" s="591"/>
      <c r="D54" s="207"/>
      <c r="E54" s="207"/>
      <c r="F54" s="592"/>
      <c r="G54" s="593"/>
      <c r="H54" s="592"/>
      <c r="I54" s="230"/>
      <c r="J54" s="632"/>
      <c r="K54" s="672"/>
      <c r="L54" s="673"/>
      <c r="M54" s="672"/>
      <c r="N54" s="121"/>
      <c r="P54" s="244"/>
      <c r="Q54" s="244"/>
      <c r="R54" s="121"/>
      <c r="T54" s="123"/>
      <c r="U54" s="120"/>
    </row>
    <row r="55" spans="2:29" s="111" customFormat="1" ht="14.25" customHeight="1">
      <c r="B55" s="590"/>
      <c r="C55" s="591"/>
      <c r="D55" s="207"/>
      <c r="E55" s="207"/>
      <c r="F55" s="592"/>
      <c r="G55" s="593"/>
      <c r="H55" s="592"/>
      <c r="I55" s="230"/>
      <c r="J55" s="632"/>
      <c r="K55" s="672"/>
      <c r="L55" s="673"/>
      <c r="M55" s="672"/>
      <c r="N55" s="121"/>
      <c r="P55" s="244"/>
      <c r="Q55" s="244"/>
      <c r="R55" s="121"/>
      <c r="T55" s="123"/>
      <c r="U55" s="120"/>
      <c r="V55" s="117"/>
      <c r="W55" s="117"/>
      <c r="X55" s="117"/>
      <c r="Y55" s="113"/>
      <c r="Z55" s="113"/>
      <c r="AA55" s="113"/>
    </row>
    <row r="56" spans="2:29" s="111" customFormat="1" ht="14.25" customHeight="1">
      <c r="B56" s="231"/>
      <c r="C56" s="207"/>
      <c r="D56" s="207"/>
      <c r="E56" s="207"/>
      <c r="F56" s="232"/>
      <c r="G56" s="232"/>
      <c r="H56" s="233"/>
      <c r="I56" s="230"/>
      <c r="J56" s="632"/>
      <c r="K56" s="674"/>
      <c r="L56" s="674"/>
      <c r="M56" s="675"/>
      <c r="N56" s="121"/>
      <c r="R56" s="121"/>
      <c r="T56" s="123"/>
      <c r="U56" s="120"/>
      <c r="V56" s="120"/>
      <c r="W56" s="120"/>
      <c r="X56" s="120"/>
    </row>
    <row r="57" spans="2:29" s="111" customFormat="1" ht="14.25" customHeight="1">
      <c r="B57" s="235">
        <v>3</v>
      </c>
      <c r="C57" s="236" t="s">
        <v>565</v>
      </c>
      <c r="D57" s="207"/>
      <c r="E57" s="207"/>
      <c r="F57" s="592"/>
      <c r="G57" s="593"/>
      <c r="H57" s="592"/>
      <c r="I57" s="212" t="s">
        <v>523</v>
      </c>
      <c r="J57" s="632"/>
      <c r="K57" s="670">
        <f>MIN(K58:K81)</f>
        <v>46057</v>
      </c>
      <c r="L57" s="671">
        <f>NETWORKDAYS(K57,M57,)</f>
        <v>4</v>
      </c>
      <c r="M57" s="670">
        <f>MAX(M58:M81)</f>
        <v>46062</v>
      </c>
      <c r="N57" s="121" t="s">
        <v>94</v>
      </c>
      <c r="P57" s="351">
        <f>AVERAGE(P58:P81)</f>
        <v>0</v>
      </c>
      <c r="Q57" s="351">
        <v>0</v>
      </c>
      <c r="R57" s="121"/>
      <c r="T57" s="3"/>
      <c r="V57" s="120"/>
      <c r="W57" s="120"/>
      <c r="X57" s="120"/>
      <c r="AB57" s="113"/>
      <c r="AC57" s="113"/>
    </row>
    <row r="58" spans="2:29" s="113" customFormat="1" ht="14.25" customHeight="1">
      <c r="B58" s="590"/>
      <c r="C58" s="628" t="s">
        <v>566</v>
      </c>
      <c r="D58" s="207"/>
      <c r="E58" s="207"/>
      <c r="F58" s="592"/>
      <c r="G58" s="593"/>
      <c r="H58" s="592"/>
      <c r="I58" s="230" t="s">
        <v>525</v>
      </c>
      <c r="J58" s="632"/>
      <c r="K58" s="672">
        <v>46057</v>
      </c>
      <c r="L58" s="673">
        <v>3</v>
      </c>
      <c r="M58" s="672">
        <f>WORKDAY.INTL(K58,L58,1,Data!$C$3:$C$57)</f>
        <v>46062</v>
      </c>
      <c r="N58" s="121"/>
      <c r="O58" s="111"/>
      <c r="P58" s="244">
        <v>0</v>
      </c>
      <c r="Q58" s="244">
        <f t="shared" ref="Q58:Q80" ca="1" si="8">_xlfn.LET(
  _xlpm.s,VALUE($K58),
  _xlpm.e,VALUE($M58),
  IF(OR(_xlpm.s="",_xlpm.e=""),"", IF(_xlpm.e&lt;=_xlpm.s, IF(TODAY()&gt;=_xlpm.e,1,0), MAX(0,MIN(1,(TODAY()-_xlpm.s)/(_xlpm.e-_xlpm.s)))))
)</f>
        <v>1</v>
      </c>
      <c r="R58" s="121"/>
      <c r="S58" s="111"/>
      <c r="T58" s="122"/>
      <c r="U58" s="117"/>
      <c r="V58" s="120"/>
      <c r="W58" s="120"/>
      <c r="X58" s="120"/>
      <c r="Y58" s="111"/>
      <c r="Z58" s="111"/>
      <c r="AA58" s="111"/>
      <c r="AB58" s="111"/>
      <c r="AC58" s="111"/>
    </row>
    <row r="59" spans="2:29" s="113" customFormat="1" ht="14.25" customHeight="1" thickBot="1">
      <c r="B59" s="590"/>
      <c r="C59" s="747"/>
      <c r="D59" s="207"/>
      <c r="E59" s="207"/>
      <c r="F59" s="592"/>
      <c r="G59" s="593"/>
      <c r="H59" s="592"/>
      <c r="I59" s="230"/>
      <c r="J59" s="632"/>
      <c r="K59" s="672"/>
      <c r="L59" s="673"/>
      <c r="M59" s="672"/>
      <c r="N59" s="121"/>
      <c r="O59" s="111"/>
      <c r="P59" s="244"/>
      <c r="Q59" s="244"/>
      <c r="R59" s="121"/>
      <c r="S59" s="111"/>
      <c r="T59" s="122"/>
      <c r="U59" s="117"/>
      <c r="V59" s="120"/>
      <c r="W59" s="120"/>
      <c r="X59" s="120"/>
      <c r="Y59" s="111"/>
      <c r="Z59" s="111"/>
      <c r="AA59" s="111"/>
      <c r="AB59" s="111"/>
      <c r="AC59" s="111"/>
    </row>
    <row r="60" spans="2:29" s="113" customFormat="1" ht="14.25" customHeight="1">
      <c r="B60" s="746"/>
      <c r="C60" s="748" t="s">
        <v>567</v>
      </c>
      <c r="D60" s="207"/>
      <c r="E60" s="207"/>
      <c r="F60" s="592"/>
      <c r="G60" s="593"/>
      <c r="H60" s="592"/>
      <c r="I60" s="230"/>
      <c r="J60" s="632"/>
      <c r="K60" s="672">
        <f>K58</f>
        <v>46057</v>
      </c>
      <c r="L60" s="673">
        <v>1</v>
      </c>
      <c r="M60" s="672">
        <f>WORKDAY.INTL(K60,L60,1,Data!$C$3:$C$57)</f>
        <v>46058</v>
      </c>
      <c r="N60" s="121"/>
      <c r="O60" s="111"/>
      <c r="P60" s="244">
        <v>0</v>
      </c>
      <c r="Q60" s="244">
        <f t="shared" ca="1" si="8"/>
        <v>1</v>
      </c>
      <c r="R60" s="121"/>
      <c r="S60" s="111"/>
      <c r="T60" s="122"/>
      <c r="U60" s="117"/>
      <c r="V60" s="120"/>
      <c r="W60" s="120"/>
      <c r="X60" s="120"/>
      <c r="Y60" s="111"/>
      <c r="Z60" s="111"/>
      <c r="AA60" s="111"/>
      <c r="AB60" s="111"/>
      <c r="AC60" s="111"/>
    </row>
    <row r="61" spans="2:29" s="113" customFormat="1" ht="14.25" customHeight="1">
      <c r="B61" s="746"/>
      <c r="C61" s="749" t="s">
        <v>568</v>
      </c>
      <c r="D61" s="207"/>
      <c r="E61" s="207"/>
      <c r="F61" s="592"/>
      <c r="G61" s="593"/>
      <c r="H61" s="592"/>
      <c r="I61" s="230"/>
      <c r="J61" s="632"/>
      <c r="K61" s="672"/>
      <c r="L61" s="673"/>
      <c r="M61" s="672"/>
      <c r="N61" s="121"/>
      <c r="O61" s="111"/>
      <c r="P61" s="244"/>
      <c r="Q61" s="244"/>
      <c r="R61" s="121"/>
      <c r="S61" s="111"/>
      <c r="T61" s="122"/>
      <c r="U61" s="117"/>
      <c r="V61" s="120"/>
      <c r="W61" s="120"/>
      <c r="X61" s="120"/>
      <c r="Y61" s="111"/>
      <c r="Z61" s="111"/>
      <c r="AA61" s="111"/>
      <c r="AB61" s="111"/>
      <c r="AC61" s="111"/>
    </row>
    <row r="62" spans="2:29" s="113" customFormat="1" ht="14.25" customHeight="1">
      <c r="B62" s="746"/>
      <c r="C62" s="749" t="s">
        <v>569</v>
      </c>
      <c r="D62" s="207"/>
      <c r="E62" s="207"/>
      <c r="F62" s="592"/>
      <c r="G62" s="593"/>
      <c r="H62" s="592"/>
      <c r="I62" s="230"/>
      <c r="J62" s="632"/>
      <c r="K62" s="672"/>
      <c r="L62" s="673"/>
      <c r="M62" s="672"/>
      <c r="N62" s="121"/>
      <c r="O62" s="111"/>
      <c r="P62" s="244"/>
      <c r="Q62" s="244"/>
      <c r="R62" s="121"/>
      <c r="S62" s="111"/>
      <c r="T62" s="122"/>
      <c r="U62" s="117"/>
      <c r="V62" s="120"/>
      <c r="W62" s="120"/>
      <c r="X62" s="120"/>
      <c r="Y62" s="111"/>
      <c r="Z62" s="111"/>
      <c r="AA62" s="111"/>
      <c r="AB62" s="111"/>
      <c r="AC62" s="111"/>
    </row>
    <row r="63" spans="2:29" s="113" customFormat="1" ht="14.25" customHeight="1">
      <c r="B63" s="746"/>
      <c r="C63" s="798" t="s">
        <v>570</v>
      </c>
      <c r="D63" s="207"/>
      <c r="E63" s="207"/>
      <c r="F63" s="592"/>
      <c r="G63" s="593"/>
      <c r="H63" s="592"/>
      <c r="I63" s="230"/>
      <c r="J63" s="632"/>
      <c r="K63" s="672"/>
      <c r="L63" s="673"/>
      <c r="M63" s="672"/>
      <c r="N63" s="121"/>
      <c r="O63" s="111"/>
      <c r="P63" s="244"/>
      <c r="Q63" s="244"/>
      <c r="R63" s="121"/>
      <c r="S63" s="111"/>
      <c r="T63" s="122"/>
      <c r="U63" s="117"/>
      <c r="V63" s="120"/>
      <c r="W63" s="120"/>
      <c r="X63" s="120"/>
      <c r="Y63" s="111"/>
      <c r="Z63" s="111"/>
      <c r="AA63" s="111"/>
      <c r="AB63" s="111"/>
      <c r="AC63" s="111"/>
    </row>
    <row r="64" spans="2:29" s="113" customFormat="1" ht="14.25" customHeight="1">
      <c r="B64" s="746"/>
      <c r="C64" s="749" t="s">
        <v>571</v>
      </c>
      <c r="D64" s="207"/>
      <c r="E64" s="207"/>
      <c r="F64" s="592"/>
      <c r="G64" s="593"/>
      <c r="H64" s="592"/>
      <c r="I64" s="230"/>
      <c r="J64" s="632"/>
      <c r="K64" s="672"/>
      <c r="L64" s="673"/>
      <c r="M64" s="672"/>
      <c r="N64" s="121"/>
      <c r="O64" s="111"/>
      <c r="P64" s="244"/>
      <c r="Q64" s="244"/>
      <c r="R64" s="121"/>
      <c r="S64" s="111"/>
      <c r="T64" s="122"/>
      <c r="U64" s="117"/>
      <c r="V64" s="120"/>
      <c r="W64" s="120"/>
      <c r="X64" s="120"/>
      <c r="Y64" s="111"/>
      <c r="Z64" s="111"/>
      <c r="AA64" s="111"/>
      <c r="AB64" s="111"/>
      <c r="AC64" s="111"/>
    </row>
    <row r="65" spans="2:29" s="113" customFormat="1" ht="14.25" customHeight="1">
      <c r="B65" s="746"/>
      <c r="C65" s="749" t="s">
        <v>572</v>
      </c>
      <c r="D65" s="207"/>
      <c r="E65" s="207"/>
      <c r="F65" s="592"/>
      <c r="G65" s="593"/>
      <c r="H65" s="592"/>
      <c r="I65" s="230"/>
      <c r="J65" s="632"/>
      <c r="K65" s="672"/>
      <c r="L65" s="673"/>
      <c r="M65" s="672"/>
      <c r="N65" s="121"/>
      <c r="O65" s="111"/>
      <c r="P65" s="244"/>
      <c r="Q65" s="244"/>
      <c r="R65" s="121"/>
      <c r="S65" s="111"/>
      <c r="T65" s="122"/>
      <c r="U65" s="117"/>
      <c r="V65" s="120"/>
      <c r="W65" s="120"/>
      <c r="X65" s="120"/>
      <c r="Y65" s="111"/>
      <c r="Z65" s="111"/>
      <c r="AA65" s="111"/>
      <c r="AB65" s="111"/>
      <c r="AC65" s="111"/>
    </row>
    <row r="66" spans="2:29" s="113" customFormat="1" ht="14.25" customHeight="1">
      <c r="B66" s="746"/>
      <c r="C66" s="750" t="s">
        <v>573</v>
      </c>
      <c r="D66" s="207"/>
      <c r="E66" s="207"/>
      <c r="F66" s="592"/>
      <c r="G66" s="593"/>
      <c r="H66" s="592"/>
      <c r="I66" s="230"/>
      <c r="J66" s="632"/>
      <c r="K66" s="672">
        <f>WORKDAY.INTL(M60,J66,1,Data!$C$3:$C$57)</f>
        <v>46058</v>
      </c>
      <c r="L66" s="673">
        <v>1</v>
      </c>
      <c r="M66" s="672">
        <f>WORKDAY.INTL(K66,L66,1,Data!$C$3:$C$57)</f>
        <v>46059</v>
      </c>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746"/>
      <c r="C67" s="749" t="s">
        <v>574</v>
      </c>
      <c r="D67" s="207"/>
      <c r="E67" s="207"/>
      <c r="F67" s="592"/>
      <c r="G67" s="593"/>
      <c r="H67" s="592"/>
      <c r="I67" s="230"/>
      <c r="J67" s="632"/>
      <c r="K67" s="672"/>
      <c r="L67" s="673"/>
      <c r="M67" s="672"/>
      <c r="N67" s="121"/>
      <c r="O67" s="111"/>
      <c r="P67" s="244"/>
      <c r="Q67" s="244"/>
      <c r="R67" s="121"/>
      <c r="S67" s="111"/>
      <c r="T67" s="122"/>
      <c r="U67" s="117"/>
      <c r="V67" s="120"/>
      <c r="W67" s="120"/>
      <c r="X67" s="120"/>
      <c r="Y67" s="111"/>
      <c r="Z67" s="111"/>
      <c r="AA67" s="111"/>
      <c r="AB67" s="111"/>
      <c r="AC67" s="111"/>
    </row>
    <row r="68" spans="2:29" s="113" customFormat="1" ht="14.25" customHeight="1">
      <c r="B68" s="746"/>
      <c r="C68" s="754" t="s">
        <v>575</v>
      </c>
      <c r="D68" s="207"/>
      <c r="E68" s="207"/>
      <c r="F68" s="592"/>
      <c r="G68" s="593"/>
      <c r="H68" s="592"/>
      <c r="I68" s="230"/>
      <c r="J68" s="632"/>
      <c r="K68" s="672"/>
      <c r="L68" s="673"/>
      <c r="M68" s="672"/>
      <c r="N68" s="121"/>
      <c r="O68" s="111"/>
      <c r="P68" s="244"/>
      <c r="Q68" s="244"/>
      <c r="R68" s="121"/>
      <c r="S68" s="111"/>
      <c r="T68" s="122"/>
      <c r="U68" s="117"/>
      <c r="V68" s="120"/>
      <c r="W68" s="120"/>
      <c r="X68" s="120"/>
      <c r="Y68" s="111"/>
      <c r="Z68" s="111"/>
      <c r="AA68" s="111"/>
      <c r="AB68" s="111"/>
      <c r="AC68" s="111"/>
    </row>
    <row r="69" spans="2:29" s="113" customFormat="1" ht="14.25" customHeight="1">
      <c r="B69" s="746"/>
      <c r="C69" s="749" t="s">
        <v>576</v>
      </c>
      <c r="D69" s="207"/>
      <c r="E69" s="207"/>
      <c r="F69" s="592"/>
      <c r="G69" s="593"/>
      <c r="H69" s="592"/>
      <c r="I69" s="230"/>
      <c r="J69" s="632"/>
      <c r="K69" s="672"/>
      <c r="L69" s="673"/>
      <c r="M69" s="672"/>
      <c r="N69" s="121"/>
      <c r="O69" s="111"/>
      <c r="P69" s="244"/>
      <c r="Q69" s="244"/>
      <c r="R69" s="121"/>
      <c r="S69" s="111"/>
      <c r="T69" s="122"/>
      <c r="U69" s="117"/>
      <c r="V69" s="120"/>
      <c r="W69" s="120"/>
      <c r="X69" s="120"/>
      <c r="Y69" s="111"/>
      <c r="Z69" s="111"/>
      <c r="AA69" s="111"/>
      <c r="AB69" s="111"/>
      <c r="AC69" s="111"/>
    </row>
    <row r="70" spans="2:29" s="113" customFormat="1" ht="14.25" customHeight="1">
      <c r="B70" s="746"/>
      <c r="C70" s="749" t="s">
        <v>577</v>
      </c>
      <c r="D70" s="207"/>
      <c r="E70" s="207"/>
      <c r="F70" s="592"/>
      <c r="G70" s="593"/>
      <c r="H70" s="592"/>
      <c r="I70" s="230"/>
      <c r="J70" s="632"/>
      <c r="K70" s="672"/>
      <c r="L70" s="673"/>
      <c r="M70" s="672"/>
      <c r="N70" s="121"/>
      <c r="O70" s="111"/>
      <c r="P70" s="244"/>
      <c r="Q70" s="244"/>
      <c r="R70" s="121"/>
      <c r="S70" s="111"/>
      <c r="T70" s="122"/>
      <c r="U70" s="117"/>
      <c r="V70" s="120"/>
      <c r="W70" s="120"/>
      <c r="X70" s="120"/>
      <c r="Y70" s="111"/>
      <c r="Z70" s="111"/>
      <c r="AA70" s="111"/>
      <c r="AB70" s="111"/>
      <c r="AC70" s="111"/>
    </row>
    <row r="71" spans="2:29" s="113" customFormat="1" ht="14.25" customHeight="1">
      <c r="B71" s="746"/>
      <c r="C71" s="749" t="s">
        <v>578</v>
      </c>
      <c r="D71" s="207"/>
      <c r="E71" s="207"/>
      <c r="F71" s="592"/>
      <c r="G71" s="593"/>
      <c r="H71" s="592"/>
      <c r="I71" s="230"/>
      <c r="J71" s="632"/>
      <c r="K71" s="672"/>
      <c r="L71" s="673"/>
      <c r="M71" s="672"/>
      <c r="N71" s="121"/>
      <c r="O71" s="111"/>
      <c r="P71" s="244"/>
      <c r="Q71" s="244"/>
      <c r="R71" s="121"/>
      <c r="S71" s="111"/>
      <c r="T71" s="122"/>
      <c r="U71" s="117"/>
      <c r="V71" s="120"/>
      <c r="W71" s="120"/>
      <c r="X71" s="120"/>
      <c r="Y71" s="111"/>
      <c r="Z71" s="111"/>
      <c r="AA71" s="111"/>
      <c r="AB71" s="111"/>
      <c r="AC71" s="111"/>
    </row>
    <row r="72" spans="2:29" s="113" customFormat="1" ht="14.25" customHeight="1">
      <c r="B72" s="746"/>
      <c r="C72" s="749" t="s">
        <v>579</v>
      </c>
      <c r="D72" s="207"/>
      <c r="E72" s="207"/>
      <c r="F72" s="592"/>
      <c r="G72" s="593"/>
      <c r="H72" s="592"/>
      <c r="I72" s="230"/>
      <c r="J72" s="632"/>
      <c r="K72" s="672"/>
      <c r="L72" s="673"/>
      <c r="M72" s="672"/>
      <c r="N72" s="121"/>
      <c r="O72" s="111"/>
      <c r="P72" s="244"/>
      <c r="Q72" s="244"/>
      <c r="R72" s="121"/>
      <c r="S72" s="111"/>
      <c r="T72" s="122"/>
      <c r="U72" s="117"/>
      <c r="V72" s="120"/>
      <c r="W72" s="120"/>
      <c r="X72" s="120"/>
      <c r="Y72" s="111"/>
      <c r="Z72" s="111"/>
      <c r="AA72" s="111"/>
      <c r="AB72" s="111"/>
      <c r="AC72" s="111"/>
    </row>
    <row r="73" spans="2:29" s="113" customFormat="1" ht="14.25" customHeight="1">
      <c r="B73" s="746"/>
      <c r="C73" s="750" t="s">
        <v>580</v>
      </c>
      <c r="D73" s="207"/>
      <c r="E73" s="207"/>
      <c r="F73" s="592"/>
      <c r="G73" s="593"/>
      <c r="H73" s="592"/>
      <c r="I73" s="230"/>
      <c r="J73" s="632"/>
      <c r="K73" s="672">
        <f>WORKDAY.INTL(M66,J73,1,Data!$C$3:$C$57)</f>
        <v>46059</v>
      </c>
      <c r="L73" s="673">
        <v>1</v>
      </c>
      <c r="M73" s="672">
        <f>WORKDAY.INTL(K73,L73,1,Data!$C$3:$C$57)</f>
        <v>46062</v>
      </c>
      <c r="N73" s="121"/>
      <c r="O73" s="111"/>
      <c r="P73" s="244">
        <v>0</v>
      </c>
      <c r="Q73" s="244">
        <f t="shared" ca="1" si="8"/>
        <v>1</v>
      </c>
      <c r="R73" s="121"/>
      <c r="S73" s="111"/>
      <c r="T73" s="122"/>
      <c r="U73" s="117"/>
      <c r="V73" s="120"/>
      <c r="W73" s="120"/>
      <c r="X73" s="120"/>
      <c r="Y73" s="111"/>
      <c r="Z73" s="111"/>
      <c r="AA73" s="111"/>
      <c r="AB73" s="111"/>
      <c r="AC73" s="111"/>
    </row>
    <row r="74" spans="2:29" s="113" customFormat="1" ht="14.25" customHeight="1">
      <c r="B74" s="746"/>
      <c r="C74" s="749" t="s">
        <v>574</v>
      </c>
      <c r="D74" s="207"/>
      <c r="E74" s="207"/>
      <c r="F74" s="592"/>
      <c r="G74" s="593"/>
      <c r="H74" s="592"/>
      <c r="I74" s="230"/>
      <c r="J74" s="632"/>
      <c r="K74" s="672"/>
      <c r="L74" s="673"/>
      <c r="M74" s="672"/>
      <c r="N74" s="121"/>
      <c r="O74" s="111"/>
      <c r="P74" s="244"/>
      <c r="Q74" s="244"/>
      <c r="R74" s="121"/>
      <c r="S74" s="111"/>
      <c r="T74" s="122"/>
      <c r="U74" s="117"/>
      <c r="V74" s="120"/>
      <c r="W74" s="120"/>
      <c r="X74" s="120"/>
      <c r="Y74" s="111"/>
      <c r="Z74" s="111"/>
      <c r="AA74" s="111"/>
      <c r="AB74" s="111"/>
      <c r="AC74" s="111"/>
    </row>
    <row r="75" spans="2:29" s="113" customFormat="1" ht="14.25" customHeight="1">
      <c r="B75" s="746"/>
      <c r="C75" s="749" t="s">
        <v>581</v>
      </c>
      <c r="D75" s="207"/>
      <c r="E75" s="207"/>
      <c r="F75" s="592"/>
      <c r="G75" s="593"/>
      <c r="H75" s="592"/>
      <c r="I75" s="230"/>
      <c r="J75" s="632"/>
      <c r="K75" s="672"/>
      <c r="L75" s="673"/>
      <c r="M75" s="672"/>
      <c r="N75" s="121"/>
      <c r="O75" s="111"/>
      <c r="P75" s="244"/>
      <c r="Q75" s="244"/>
      <c r="R75" s="121"/>
      <c r="S75" s="111"/>
      <c r="T75" s="122"/>
      <c r="U75" s="117"/>
      <c r="V75" s="120"/>
      <c r="W75" s="120"/>
      <c r="X75" s="120"/>
      <c r="Y75" s="111"/>
      <c r="Z75" s="111"/>
      <c r="AA75" s="111"/>
      <c r="AB75" s="111"/>
      <c r="AC75" s="111"/>
    </row>
    <row r="76" spans="2:29" s="113" customFormat="1" ht="14.25" customHeight="1">
      <c r="B76" s="746"/>
      <c r="C76" s="749" t="s">
        <v>582</v>
      </c>
      <c r="D76" s="207"/>
      <c r="E76" s="207"/>
      <c r="F76" s="592"/>
      <c r="G76" s="593"/>
      <c r="H76" s="592"/>
      <c r="I76" s="230"/>
      <c r="J76" s="632"/>
      <c r="K76" s="672"/>
      <c r="L76" s="673"/>
      <c r="M76" s="672"/>
      <c r="N76" s="121"/>
      <c r="O76" s="111"/>
      <c r="P76" s="244"/>
      <c r="Q76" s="244"/>
      <c r="R76" s="121"/>
      <c r="S76" s="111"/>
      <c r="T76" s="122"/>
      <c r="U76" s="117"/>
      <c r="V76" s="120"/>
      <c r="W76" s="120"/>
      <c r="X76" s="120"/>
      <c r="Y76" s="111"/>
      <c r="Z76" s="111"/>
      <c r="AA76" s="111"/>
      <c r="AB76" s="111"/>
      <c r="AC76" s="111"/>
    </row>
    <row r="77" spans="2:29" s="113" customFormat="1" ht="14.25" customHeight="1" thickBot="1">
      <c r="B77" s="746"/>
      <c r="C77" s="799" t="s">
        <v>583</v>
      </c>
      <c r="D77" s="207"/>
      <c r="E77" s="207"/>
      <c r="F77" s="592"/>
      <c r="G77" s="593"/>
      <c r="H77" s="592"/>
      <c r="I77" s="230"/>
      <c r="J77" s="632"/>
      <c r="K77" s="672"/>
      <c r="L77" s="673"/>
      <c r="M77" s="672"/>
      <c r="N77" s="121"/>
      <c r="O77" s="111"/>
      <c r="P77" s="244"/>
      <c r="Q77" s="244"/>
      <c r="R77" s="121"/>
      <c r="S77" s="111"/>
      <c r="T77" s="122"/>
      <c r="U77" s="117"/>
      <c r="V77" s="120"/>
      <c r="W77" s="120"/>
      <c r="X77" s="120"/>
      <c r="Y77" s="111"/>
      <c r="Z77" s="111"/>
      <c r="AA77" s="111"/>
      <c r="AB77" s="111"/>
      <c r="AC77" s="111"/>
    </row>
    <row r="78" spans="2:29" s="113" customFormat="1" ht="14.25" customHeight="1">
      <c r="B78" s="590"/>
      <c r="C78" s="745" t="s">
        <v>584</v>
      </c>
      <c r="D78" s="207"/>
      <c r="E78" s="207"/>
      <c r="F78" s="592"/>
      <c r="G78" s="593"/>
      <c r="H78" s="592"/>
      <c r="I78" s="230"/>
      <c r="J78" s="632">
        <v>14</v>
      </c>
      <c r="K78" s="672"/>
      <c r="L78" s="673"/>
      <c r="M78" s="672"/>
      <c r="N78" s="121"/>
      <c r="O78" s="111"/>
      <c r="P78" s="244">
        <v>0</v>
      </c>
      <c r="Q78" s="244">
        <f t="shared" ca="1" si="8"/>
        <v>1</v>
      </c>
      <c r="R78" s="121"/>
      <c r="S78" s="111"/>
      <c r="T78" s="122"/>
      <c r="U78" s="117"/>
      <c r="V78" s="120"/>
      <c r="W78" s="120"/>
      <c r="X78" s="120"/>
      <c r="Y78" s="111"/>
      <c r="Z78" s="111"/>
      <c r="AA78" s="111"/>
      <c r="AB78" s="111"/>
      <c r="AC78" s="111"/>
    </row>
    <row r="79" spans="2:29" s="113" customFormat="1" ht="14.25" customHeight="1">
      <c r="B79" s="590"/>
      <c r="C79" s="604" t="s">
        <v>585</v>
      </c>
      <c r="D79" s="207"/>
      <c r="E79" s="207"/>
      <c r="F79" s="592"/>
      <c r="G79" s="593"/>
      <c r="H79" s="592"/>
      <c r="I79" s="230"/>
      <c r="J79" s="632"/>
      <c r="K79" s="672"/>
      <c r="L79" s="673"/>
      <c r="M79" s="672"/>
      <c r="N79" s="121"/>
      <c r="O79" s="111"/>
      <c r="P79" s="244">
        <v>0</v>
      </c>
      <c r="Q79" s="244">
        <f t="shared" ca="1" si="8"/>
        <v>1</v>
      </c>
      <c r="R79" s="121"/>
      <c r="S79" s="111"/>
      <c r="T79" s="122"/>
      <c r="U79" s="117"/>
      <c r="V79" s="120"/>
      <c r="W79" s="120"/>
      <c r="X79" s="120"/>
      <c r="Y79" s="111"/>
      <c r="Z79" s="111"/>
      <c r="AA79" s="111"/>
      <c r="AB79" s="111"/>
      <c r="AC79" s="111"/>
    </row>
    <row r="80" spans="2:29" s="111" customFormat="1" ht="14.25" customHeight="1">
      <c r="B80" s="590"/>
      <c r="C80" s="604" t="s">
        <v>586</v>
      </c>
      <c r="D80" s="207"/>
      <c r="E80" s="207"/>
      <c r="F80" s="592"/>
      <c r="G80" s="593"/>
      <c r="H80" s="592"/>
      <c r="I80" s="230"/>
      <c r="J80" s="632"/>
      <c r="K80" s="672"/>
      <c r="L80" s="673"/>
      <c r="M80" s="672"/>
      <c r="N80" s="121"/>
      <c r="P80" s="244">
        <v>0</v>
      </c>
      <c r="Q80" s="244">
        <f t="shared" ca="1" si="8"/>
        <v>1</v>
      </c>
      <c r="R80" s="121"/>
      <c r="T80" s="123"/>
      <c r="U80" s="120"/>
      <c r="V80" s="120"/>
      <c r="W80" s="120"/>
      <c r="X80" s="120"/>
    </row>
    <row r="81" spans="2:24" s="111" customFormat="1" ht="14.25" customHeight="1">
      <c r="B81" s="590"/>
      <c r="C81" s="604"/>
      <c r="D81" s="207"/>
      <c r="E81" s="207"/>
      <c r="F81" s="592"/>
      <c r="G81" s="593"/>
      <c r="H81" s="592"/>
      <c r="I81" s="230"/>
      <c r="J81" s="632"/>
      <c r="K81" s="672"/>
      <c r="L81" s="673"/>
      <c r="M81" s="672"/>
      <c r="N81" s="121"/>
      <c r="P81" s="244"/>
      <c r="Q81" s="244"/>
      <c r="R81" s="121"/>
      <c r="T81" s="123"/>
      <c r="U81" s="120"/>
      <c r="V81" s="120"/>
      <c r="W81" s="120"/>
      <c r="X81" s="120"/>
    </row>
    <row r="82" spans="2:24" s="111" customFormat="1" ht="14.25" customHeight="1">
      <c r="B82" s="231"/>
      <c r="C82" s="207"/>
      <c r="D82" s="207"/>
      <c r="E82" s="207"/>
      <c r="F82" s="232"/>
      <c r="G82" s="232"/>
      <c r="H82" s="233"/>
      <c r="I82" s="230"/>
      <c r="J82" s="632"/>
      <c r="K82" s="672"/>
      <c r="L82" s="673"/>
      <c r="M82" s="672"/>
      <c r="N82" s="121"/>
      <c r="R82" s="121"/>
      <c r="T82" s="123"/>
      <c r="U82" s="120"/>
      <c r="V82" s="120"/>
      <c r="W82" s="120"/>
      <c r="X82" s="120"/>
    </row>
    <row r="83" spans="2:24" s="111" customFormat="1" ht="14.25" customHeight="1">
      <c r="B83" s="235">
        <v>5</v>
      </c>
      <c r="C83" s="236" t="s">
        <v>587</v>
      </c>
      <c r="D83" s="207"/>
      <c r="E83" s="207"/>
      <c r="F83" s="592"/>
      <c r="G83" s="593"/>
      <c r="H83" s="592"/>
      <c r="I83" s="212" t="s">
        <v>523</v>
      </c>
      <c r="J83" s="632"/>
      <c r="K83" s="670">
        <f>K14</f>
        <v>45695</v>
      </c>
      <c r="L83" s="671">
        <v>70</v>
      </c>
      <c r="M83" s="670">
        <f>K83+L83</f>
        <v>45765</v>
      </c>
      <c r="N83" s="121" t="s">
        <v>144</v>
      </c>
      <c r="P83" s="351">
        <v>1</v>
      </c>
      <c r="Q83" s="351">
        <v>1</v>
      </c>
      <c r="R83" s="121"/>
      <c r="T83" s="123"/>
      <c r="U83" s="120"/>
      <c r="V83" s="120"/>
      <c r="W83" s="120"/>
      <c r="X83" s="120"/>
    </row>
    <row r="84" spans="2:24" s="111" customFormat="1" ht="14.25" hidden="1" customHeight="1">
      <c r="B84" s="590"/>
      <c r="C84" s="604" t="s">
        <v>588</v>
      </c>
      <c r="D84" s="207"/>
      <c r="E84" s="207"/>
      <c r="F84" s="592"/>
      <c r="G84" s="593"/>
      <c r="H84" s="592"/>
      <c r="I84" s="230" t="s">
        <v>525</v>
      </c>
      <c r="J84" s="632"/>
      <c r="K84" s="672"/>
      <c r="L84" s="673"/>
      <c r="M84" s="672"/>
      <c r="N84" s="121"/>
      <c r="P84" s="244">
        <v>1</v>
      </c>
      <c r="Q84" s="244">
        <f t="shared" ref="Q84:Q87" ca="1" si="9">_xlfn.LET(
  _xlpm.s,VALUE($K84),
  _xlpm.e,VALUE($M84),
  IF(OR(_xlpm.s="",_xlpm.e=""),"", IF(_xlpm.e&lt;=_xlpm.s, IF(TODAY()&gt;=_xlpm.e,1,0), MAX(0,MIN(1,(TODAY()-_xlpm.s)/(_xlpm.e-_xlpm.s)))))
)</f>
        <v>1</v>
      </c>
      <c r="R84" s="121"/>
      <c r="T84" s="123"/>
      <c r="U84" s="120"/>
    </row>
    <row r="85" spans="2:24" s="111" customFormat="1" ht="14.25" hidden="1" customHeight="1">
      <c r="B85" s="590"/>
      <c r="C85" s="591" t="s">
        <v>589</v>
      </c>
      <c r="D85" s="207"/>
      <c r="E85" s="207"/>
      <c r="F85" s="592"/>
      <c r="G85" s="593"/>
      <c r="H85" s="592"/>
      <c r="I85" s="230" t="s">
        <v>525</v>
      </c>
      <c r="J85" s="632"/>
      <c r="K85" s="672"/>
      <c r="L85" s="673"/>
      <c r="M85" s="672"/>
      <c r="N85" s="121"/>
      <c r="P85" s="244">
        <v>1</v>
      </c>
      <c r="Q85" s="244">
        <f t="shared" ca="1" si="9"/>
        <v>1</v>
      </c>
      <c r="R85" s="121"/>
      <c r="T85" s="123"/>
      <c r="U85" s="120"/>
      <c r="V85" s="120"/>
      <c r="W85" s="120"/>
      <c r="X85" s="120"/>
    </row>
    <row r="86" spans="2:24" s="111" customFormat="1" ht="14.25" hidden="1" customHeight="1">
      <c r="B86" s="590"/>
      <c r="C86" s="591" t="s">
        <v>590</v>
      </c>
      <c r="D86" s="207"/>
      <c r="E86" s="207"/>
      <c r="F86" s="592"/>
      <c r="G86" s="593"/>
      <c r="H86" s="592"/>
      <c r="I86" s="230" t="s">
        <v>525</v>
      </c>
      <c r="J86" s="632"/>
      <c r="K86" s="672"/>
      <c r="L86" s="673"/>
      <c r="M86" s="672"/>
      <c r="N86" s="121"/>
      <c r="P86" s="244">
        <v>1</v>
      </c>
      <c r="Q86" s="244">
        <f t="shared" ca="1" si="9"/>
        <v>1</v>
      </c>
      <c r="R86" s="121"/>
      <c r="T86" s="123"/>
      <c r="U86" s="120"/>
      <c r="V86" s="120"/>
      <c r="W86" s="120"/>
      <c r="X86" s="120"/>
    </row>
    <row r="87" spans="2:24" s="111" customFormat="1" ht="14.25" hidden="1" customHeight="1">
      <c r="B87" s="590"/>
      <c r="C87" s="591" t="s">
        <v>591</v>
      </c>
      <c r="D87" s="207"/>
      <c r="E87" s="207"/>
      <c r="F87" s="592"/>
      <c r="G87" s="593"/>
      <c r="H87" s="592"/>
      <c r="I87" s="230" t="s">
        <v>525</v>
      </c>
      <c r="J87" s="632"/>
      <c r="K87" s="672"/>
      <c r="L87" s="673"/>
      <c r="M87" s="672"/>
      <c r="N87" s="121"/>
      <c r="P87" s="244">
        <v>1</v>
      </c>
      <c r="Q87" s="244">
        <f t="shared" ca="1" si="9"/>
        <v>1</v>
      </c>
      <c r="R87" s="121"/>
      <c r="T87" s="3"/>
      <c r="V87" s="120"/>
      <c r="W87" s="120"/>
      <c r="X87" s="120"/>
    </row>
    <row r="88" spans="2:24" s="111" customFormat="1" ht="14.25" customHeight="1">
      <c r="B88" s="231"/>
      <c r="C88" s="207"/>
      <c r="D88" s="207"/>
      <c r="E88" s="207"/>
      <c r="F88" s="232"/>
      <c r="G88" s="232"/>
      <c r="H88" s="233"/>
      <c r="I88" s="230"/>
      <c r="J88" s="632"/>
      <c r="K88" s="674"/>
      <c r="L88" s="674"/>
      <c r="M88" s="675"/>
      <c r="N88" s="121"/>
      <c r="R88" s="121"/>
      <c r="T88" s="123"/>
      <c r="U88" s="120"/>
      <c r="V88" s="120"/>
      <c r="W88" s="120"/>
      <c r="X88" s="120"/>
    </row>
    <row r="89" spans="2:24" s="111" customFormat="1" ht="14.25" customHeight="1">
      <c r="B89" s="235">
        <v>6</v>
      </c>
      <c r="C89" s="236" t="s">
        <v>592</v>
      </c>
      <c r="D89" s="207"/>
      <c r="E89" s="207"/>
      <c r="F89" s="592"/>
      <c r="G89" s="593"/>
      <c r="H89" s="592"/>
      <c r="I89" s="212" t="s">
        <v>523</v>
      </c>
      <c r="J89" s="632"/>
      <c r="K89" s="670">
        <v>45717</v>
      </c>
      <c r="L89" s="671">
        <v>42</v>
      </c>
      <c r="M89" s="670">
        <f>K89+L89</f>
        <v>45759</v>
      </c>
      <c r="N89" s="121" t="s">
        <v>144</v>
      </c>
      <c r="P89" s="351">
        <v>1</v>
      </c>
      <c r="Q89" s="351">
        <v>1</v>
      </c>
      <c r="R89" s="121"/>
      <c r="T89" s="123"/>
      <c r="U89" s="120"/>
    </row>
    <row r="90" spans="2:24" s="111" customFormat="1" ht="14.25" hidden="1" customHeight="1">
      <c r="B90" s="590"/>
      <c r="C90" s="604" t="s">
        <v>593</v>
      </c>
      <c r="D90" s="207"/>
      <c r="E90" s="207"/>
      <c r="F90" s="592"/>
      <c r="G90" s="593"/>
      <c r="H90" s="592"/>
      <c r="I90" s="230" t="s">
        <v>525</v>
      </c>
      <c r="J90" s="632"/>
      <c r="K90" s="672"/>
      <c r="L90" s="673"/>
      <c r="M90" s="672"/>
      <c r="N90" s="121"/>
      <c r="P90" s="244">
        <v>1</v>
      </c>
      <c r="Q90" s="244">
        <f t="shared" ref="Q90:Q96" ca="1" si="10">_xlfn.LET(
  _xlpm.s,VALUE($K90),
  _xlpm.e,VALUE($M90),
  IF(OR(_xlpm.s="",_xlpm.e=""),"", IF(_xlpm.e&lt;=_xlpm.s, IF(TODAY()&gt;=_xlpm.e,1,0), MAX(0,MIN(1,(TODAY()-_xlpm.s)/(_xlpm.e-_xlpm.s)))))
)</f>
        <v>1</v>
      </c>
      <c r="R90" s="121"/>
      <c r="T90" s="123"/>
      <c r="U90" s="120"/>
      <c r="V90" s="120"/>
      <c r="W90" s="120"/>
      <c r="X90" s="120"/>
    </row>
    <row r="91" spans="2:24" s="111" customFormat="1" ht="14.25" hidden="1" customHeight="1">
      <c r="B91" s="590"/>
      <c r="C91" s="591" t="s">
        <v>594</v>
      </c>
      <c r="D91" s="207"/>
      <c r="E91" s="207"/>
      <c r="F91" s="592"/>
      <c r="G91" s="593"/>
      <c r="H91" s="592"/>
      <c r="I91" s="230" t="s">
        <v>525</v>
      </c>
      <c r="J91" s="632"/>
      <c r="K91" s="672"/>
      <c r="L91" s="673"/>
      <c r="M91" s="672"/>
      <c r="N91" s="121"/>
      <c r="P91" s="244">
        <v>1</v>
      </c>
      <c r="Q91" s="244">
        <f t="shared" ca="1" si="10"/>
        <v>1</v>
      </c>
      <c r="R91" s="121"/>
      <c r="T91" s="123"/>
      <c r="U91" s="120"/>
      <c r="V91" s="120"/>
      <c r="W91" s="120"/>
      <c r="X91" s="120"/>
    </row>
    <row r="92" spans="2:24" s="111" customFormat="1" ht="14.25" hidden="1" customHeight="1">
      <c r="B92" s="590"/>
      <c r="C92" s="591" t="s">
        <v>595</v>
      </c>
      <c r="D92" s="207"/>
      <c r="E92" s="207"/>
      <c r="F92" s="592"/>
      <c r="G92" s="593"/>
      <c r="H92" s="592"/>
      <c r="I92" s="230" t="s">
        <v>525</v>
      </c>
      <c r="J92" s="632"/>
      <c r="K92" s="672"/>
      <c r="L92" s="673"/>
      <c r="M92" s="672"/>
      <c r="N92" s="121"/>
      <c r="P92" s="244">
        <v>1</v>
      </c>
      <c r="Q92" s="244">
        <f t="shared" ca="1" si="10"/>
        <v>1</v>
      </c>
      <c r="R92" s="121"/>
      <c r="T92" s="3"/>
      <c r="V92" s="120"/>
      <c r="W92" s="120"/>
      <c r="X92" s="120"/>
    </row>
    <row r="93" spans="2:24" s="111" customFormat="1" ht="14.25" hidden="1" customHeight="1">
      <c r="B93" s="590"/>
      <c r="C93" s="591" t="s">
        <v>596</v>
      </c>
      <c r="D93" s="207"/>
      <c r="E93" s="207"/>
      <c r="F93" s="592"/>
      <c r="G93" s="593"/>
      <c r="H93" s="592"/>
      <c r="I93" s="230" t="s">
        <v>525</v>
      </c>
      <c r="J93" s="632"/>
      <c r="K93" s="672"/>
      <c r="L93" s="673"/>
      <c r="M93" s="672"/>
      <c r="N93" s="121"/>
      <c r="P93" s="244">
        <v>1</v>
      </c>
      <c r="Q93" s="244">
        <f t="shared" ca="1" si="10"/>
        <v>1</v>
      </c>
      <c r="R93" s="121"/>
      <c r="T93" s="123"/>
      <c r="U93" s="120"/>
      <c r="V93" s="120"/>
      <c r="W93" s="120"/>
      <c r="X93" s="120"/>
    </row>
    <row r="94" spans="2:24" s="111" customFormat="1" ht="14.25" hidden="1" customHeight="1">
      <c r="B94" s="590"/>
      <c r="C94" s="591" t="s">
        <v>597</v>
      </c>
      <c r="D94" s="207"/>
      <c r="E94" s="207"/>
      <c r="F94" s="592"/>
      <c r="G94" s="593"/>
      <c r="H94" s="592"/>
      <c r="I94" s="230" t="s">
        <v>525</v>
      </c>
      <c r="J94" s="632"/>
      <c r="K94" s="672"/>
      <c r="L94" s="673"/>
      <c r="M94" s="672"/>
      <c r="N94" s="121"/>
      <c r="P94" s="244">
        <v>1</v>
      </c>
      <c r="Q94" s="244">
        <f t="shared" ca="1" si="10"/>
        <v>1</v>
      </c>
      <c r="R94" s="121"/>
      <c r="T94" s="123"/>
      <c r="U94" s="120"/>
      <c r="V94" s="120"/>
      <c r="W94" s="120"/>
      <c r="X94" s="120"/>
    </row>
    <row r="95" spans="2:24" s="111" customFormat="1" ht="14.25" hidden="1" customHeight="1">
      <c r="B95" s="590"/>
      <c r="C95" s="591" t="s">
        <v>598</v>
      </c>
      <c r="D95" s="207"/>
      <c r="E95" s="207"/>
      <c r="F95" s="592"/>
      <c r="G95" s="593"/>
      <c r="H95" s="592"/>
      <c r="I95" s="230" t="s">
        <v>525</v>
      </c>
      <c r="J95" s="632"/>
      <c r="K95" s="672"/>
      <c r="L95" s="673"/>
      <c r="M95" s="672"/>
      <c r="N95" s="121"/>
      <c r="P95" s="244">
        <v>1</v>
      </c>
      <c r="Q95" s="244">
        <f t="shared" ca="1" si="10"/>
        <v>1</v>
      </c>
      <c r="R95" s="121"/>
      <c r="T95" s="123"/>
      <c r="U95" s="120"/>
    </row>
    <row r="96" spans="2:24" s="111" customFormat="1" ht="14.25" hidden="1" customHeight="1">
      <c r="B96" s="590"/>
      <c r="C96" s="591" t="s">
        <v>599</v>
      </c>
      <c r="D96" s="207"/>
      <c r="E96" s="207"/>
      <c r="F96" s="592"/>
      <c r="G96" s="593"/>
      <c r="H96" s="592"/>
      <c r="I96" s="230" t="s">
        <v>525</v>
      </c>
      <c r="J96" s="632"/>
      <c r="K96" s="672"/>
      <c r="L96" s="673"/>
      <c r="M96" s="672"/>
      <c r="N96" s="121"/>
      <c r="P96" s="244">
        <v>1</v>
      </c>
      <c r="Q96" s="244">
        <f t="shared" ca="1" si="10"/>
        <v>1</v>
      </c>
      <c r="R96" s="121"/>
      <c r="T96" s="123"/>
      <c r="U96" s="120"/>
      <c r="V96" s="120"/>
      <c r="W96" s="120"/>
      <c r="X96" s="120"/>
    </row>
    <row r="97" spans="2:24" s="111" customFormat="1" ht="14.25" customHeight="1">
      <c r="B97" s="231"/>
      <c r="C97" s="207"/>
      <c r="D97" s="207"/>
      <c r="E97" s="207"/>
      <c r="F97" s="232"/>
      <c r="G97" s="232"/>
      <c r="H97" s="233"/>
      <c r="I97" s="230"/>
      <c r="J97" s="632"/>
      <c r="K97" s="674"/>
      <c r="L97" s="674"/>
      <c r="M97" s="675"/>
      <c r="N97" s="121"/>
      <c r="R97" s="121"/>
      <c r="T97" s="123"/>
      <c r="U97" s="120"/>
      <c r="V97" s="120"/>
      <c r="W97" s="120"/>
      <c r="X97" s="120"/>
    </row>
    <row r="98" spans="2:24" s="111" customFormat="1" ht="14.25" customHeight="1">
      <c r="B98" s="235">
        <v>7</v>
      </c>
      <c r="C98" s="236" t="s">
        <v>600</v>
      </c>
      <c r="D98" s="207"/>
      <c r="E98" s="207"/>
      <c r="F98" s="592"/>
      <c r="G98" s="593"/>
      <c r="H98" s="592"/>
      <c r="I98" s="212" t="s">
        <v>523</v>
      </c>
      <c r="J98" s="632"/>
      <c r="K98" s="670">
        <f>MIN(K99:K115)</f>
        <v>45695</v>
      </c>
      <c r="L98" s="671">
        <f>NETWORKDAYS(K98,M98,Data!$C$3:$C$57)</f>
        <v>236</v>
      </c>
      <c r="M98" s="670">
        <f>MAX(M99:M115)</f>
        <v>46069</v>
      </c>
      <c r="N98" s="121" t="s">
        <v>144</v>
      </c>
      <c r="P98" s="351">
        <f>AVERAGE(P99:P115)</f>
        <v>1</v>
      </c>
      <c r="Q98" s="351">
        <f ca="1">AVERAGE(Q99:Q115)</f>
        <v>1</v>
      </c>
      <c r="R98" s="121"/>
      <c r="T98" s="3"/>
      <c r="V98" s="120"/>
      <c r="W98" s="120"/>
      <c r="X98" s="120"/>
    </row>
    <row r="99" spans="2:24" s="111" customFormat="1" ht="14.25" hidden="1" customHeight="1">
      <c r="B99" s="590"/>
      <c r="C99" s="591" t="s">
        <v>601</v>
      </c>
      <c r="D99" s="207"/>
      <c r="E99" s="207"/>
      <c r="F99" s="592"/>
      <c r="G99" s="593"/>
      <c r="H99" s="592"/>
      <c r="I99" s="230" t="s">
        <v>525</v>
      </c>
      <c r="J99" s="632"/>
      <c r="K99" s="672">
        <v>45695</v>
      </c>
      <c r="L99" s="673">
        <v>38</v>
      </c>
      <c r="M99" s="672">
        <f>WORKDAY.INTL(K99,L99,1,Data!$C$3:$C$57)</f>
        <v>45750</v>
      </c>
      <c r="N99" s="121"/>
      <c r="P99" s="244">
        <v>1</v>
      </c>
      <c r="Q99" s="244">
        <f t="shared" ref="Q99:Q115" ca="1" si="11">_xlfn.LET(
  _xlpm.s,VALUE($K99),
  _xlpm.e,VALUE($M99),
  IF(OR(_xlpm.s="",_xlpm.e=""),"", IF(_xlpm.e&lt;=_xlpm.s, IF(TODAY()&gt;=_xlpm.e,1,0), MAX(0,MIN(1,(TODAY()-_xlpm.s)/(_xlpm.e-_xlpm.s)))))
)</f>
        <v>1</v>
      </c>
      <c r="R99" s="121"/>
      <c r="T99" s="123"/>
      <c r="U99" s="120"/>
      <c r="V99" s="120"/>
      <c r="W99" s="120"/>
      <c r="X99" s="120"/>
    </row>
    <row r="100" spans="2:24" s="111" customFormat="1" ht="14.25" hidden="1" customHeight="1">
      <c r="B100" s="590"/>
      <c r="C100" s="591" t="s">
        <v>602</v>
      </c>
      <c r="D100" s="207"/>
      <c r="E100" s="207"/>
      <c r="F100" s="592"/>
      <c r="G100" s="593"/>
      <c r="H100" s="592"/>
      <c r="I100" s="230" t="s">
        <v>525</v>
      </c>
      <c r="J100" s="632"/>
      <c r="K100" s="672">
        <v>45695</v>
      </c>
      <c r="L100" s="673">
        <v>38</v>
      </c>
      <c r="M100" s="672">
        <f>WORKDAY.INTL(K100,L100,1,Data!$C$3:$C$57)</f>
        <v>45750</v>
      </c>
      <c r="N100" s="121"/>
      <c r="P100" s="244">
        <v>1</v>
      </c>
      <c r="Q100" s="244">
        <f t="shared" ca="1" si="11"/>
        <v>1</v>
      </c>
      <c r="R100" s="121"/>
      <c r="T100" s="123"/>
      <c r="U100" s="120"/>
      <c r="V100" s="120"/>
      <c r="W100" s="120"/>
      <c r="X100" s="120"/>
    </row>
    <row r="101" spans="2:24" s="111" customFormat="1" ht="14.25" hidden="1" customHeight="1">
      <c r="B101" s="590"/>
      <c r="C101" s="591" t="s">
        <v>603</v>
      </c>
      <c r="D101" s="207"/>
      <c r="E101" s="207"/>
      <c r="F101" s="592"/>
      <c r="G101" s="593"/>
      <c r="H101" s="592"/>
      <c r="I101" s="230" t="s">
        <v>525</v>
      </c>
      <c r="J101" s="632"/>
      <c r="K101" s="672">
        <v>45695</v>
      </c>
      <c r="L101" s="673">
        <v>38</v>
      </c>
      <c r="M101" s="672">
        <f>WORKDAY.INTL(K101,L101,1,Data!$C$3:$C$57)</f>
        <v>45750</v>
      </c>
      <c r="N101" s="121"/>
      <c r="P101" s="244">
        <v>1</v>
      </c>
      <c r="Q101" s="244">
        <f t="shared" ca="1" si="11"/>
        <v>1</v>
      </c>
      <c r="R101" s="121"/>
      <c r="T101" s="123"/>
      <c r="U101" s="120"/>
      <c r="V101" s="120"/>
      <c r="W101" s="120"/>
      <c r="X101" s="120"/>
    </row>
    <row r="102" spans="2:24" s="111" customFormat="1" ht="14.25" hidden="1" customHeight="1">
      <c r="B102" s="590"/>
      <c r="C102" s="591" t="s">
        <v>604</v>
      </c>
      <c r="D102" s="207"/>
      <c r="E102" s="207"/>
      <c r="F102" s="592"/>
      <c r="G102" s="593"/>
      <c r="H102" s="592"/>
      <c r="I102" s="230" t="s">
        <v>525</v>
      </c>
      <c r="J102" s="632"/>
      <c r="K102" s="672">
        <v>45695</v>
      </c>
      <c r="L102" s="673">
        <v>190</v>
      </c>
      <c r="M102" s="672">
        <f>WORKDAY.INTL(K102,L102,1,Data!$C$3:$C$57)</f>
        <v>45971</v>
      </c>
      <c r="N102" s="121"/>
      <c r="P102" s="244">
        <v>1</v>
      </c>
      <c r="Q102" s="244">
        <f t="shared" ca="1" si="11"/>
        <v>1</v>
      </c>
      <c r="R102" s="121" t="s">
        <v>605</v>
      </c>
      <c r="T102" s="123"/>
      <c r="U102" s="120"/>
      <c r="V102" s="120"/>
      <c r="W102" s="120"/>
      <c r="X102" s="120"/>
    </row>
    <row r="103" spans="2:24" s="111" customFormat="1" ht="14.25" hidden="1" customHeight="1">
      <c r="B103" s="590"/>
      <c r="C103" s="591" t="s">
        <v>606</v>
      </c>
      <c r="D103" s="207"/>
      <c r="E103" s="207"/>
      <c r="F103" s="592"/>
      <c r="G103" s="593"/>
      <c r="H103" s="592"/>
      <c r="I103" s="230" t="s">
        <v>525</v>
      </c>
      <c r="J103" s="632"/>
      <c r="K103" s="672">
        <v>45695</v>
      </c>
      <c r="L103" s="673">
        <v>38</v>
      </c>
      <c r="M103" s="672">
        <f>WORKDAY.INTL(K103,L103,1,Data!$C$3:$C$57)</f>
        <v>45750</v>
      </c>
      <c r="N103" s="121"/>
      <c r="P103" s="244">
        <v>1</v>
      </c>
      <c r="Q103" s="244">
        <f t="shared" ca="1" si="11"/>
        <v>1</v>
      </c>
      <c r="R103" s="121"/>
      <c r="T103" s="123"/>
      <c r="U103" s="120"/>
      <c r="V103" s="120"/>
      <c r="W103" s="120"/>
      <c r="X103" s="120"/>
    </row>
    <row r="104" spans="2:24" s="111" customFormat="1" ht="14.25" hidden="1" customHeight="1">
      <c r="B104" s="590"/>
      <c r="C104" s="591" t="s">
        <v>607</v>
      </c>
      <c r="D104" s="207"/>
      <c r="E104" s="207"/>
      <c r="F104" s="592"/>
      <c r="G104" s="593"/>
      <c r="H104" s="592"/>
      <c r="I104" s="230" t="s">
        <v>525</v>
      </c>
      <c r="J104" s="632"/>
      <c r="K104" s="672">
        <v>45695</v>
      </c>
      <c r="L104" s="673">
        <v>38</v>
      </c>
      <c r="M104" s="672">
        <f>WORKDAY.INTL(K104,L104,1,Data!$C$3:$C$57)</f>
        <v>45750</v>
      </c>
      <c r="N104" s="121"/>
      <c r="P104" s="244">
        <v>1</v>
      </c>
      <c r="Q104" s="244">
        <f t="shared" ca="1" si="11"/>
        <v>1</v>
      </c>
      <c r="R104" s="121"/>
      <c r="T104" s="123"/>
      <c r="U104" s="120"/>
    </row>
    <row r="105" spans="2:24" s="111" customFormat="1" ht="14.25" hidden="1" customHeight="1">
      <c r="B105" s="590"/>
      <c r="C105" s="591" t="s">
        <v>608</v>
      </c>
      <c r="D105" s="207"/>
      <c r="E105" s="207"/>
      <c r="F105" s="592"/>
      <c r="G105" s="593"/>
      <c r="H105" s="592"/>
      <c r="I105" s="230" t="s">
        <v>525</v>
      </c>
      <c r="J105" s="632"/>
      <c r="K105" s="672">
        <v>45695</v>
      </c>
      <c r="L105" s="673">
        <v>38</v>
      </c>
      <c r="M105" s="672">
        <f>WORKDAY.INTL(K105,L105,1,Data!$C$3:$C$57)</f>
        <v>45750</v>
      </c>
      <c r="N105" s="121"/>
      <c r="P105" s="244">
        <v>1</v>
      </c>
      <c r="Q105" s="244">
        <f t="shared" ca="1" si="11"/>
        <v>1</v>
      </c>
      <c r="R105" s="121"/>
      <c r="T105" s="123"/>
      <c r="U105" s="120"/>
      <c r="V105" s="120"/>
      <c r="W105" s="120"/>
      <c r="X105" s="120"/>
    </row>
    <row r="106" spans="2:24" s="111" customFormat="1" ht="14.25" hidden="1" customHeight="1">
      <c r="B106" s="590"/>
      <c r="C106" s="591" t="s">
        <v>609</v>
      </c>
      <c r="D106" s="207"/>
      <c r="E106" s="207"/>
      <c r="F106" s="592"/>
      <c r="G106" s="593"/>
      <c r="H106" s="592"/>
      <c r="I106" s="230" t="s">
        <v>525</v>
      </c>
      <c r="J106" s="632"/>
      <c r="K106" s="672">
        <v>45695</v>
      </c>
      <c r="L106" s="673">
        <v>38</v>
      </c>
      <c r="M106" s="672">
        <f>WORKDAY.INTL(K106,L106,1,Data!$C$3:$C$57)</f>
        <v>45750</v>
      </c>
      <c r="N106" s="121"/>
      <c r="P106" s="244">
        <v>1</v>
      </c>
      <c r="Q106" s="244">
        <f t="shared" ca="1" si="11"/>
        <v>1</v>
      </c>
      <c r="R106" s="121"/>
      <c r="T106" s="123"/>
      <c r="U106" s="120"/>
      <c r="V106" s="120"/>
      <c r="W106" s="120"/>
      <c r="X106" s="120"/>
    </row>
    <row r="107" spans="2:24" s="111" customFormat="1" ht="14.25" hidden="1" customHeight="1">
      <c r="B107" s="590"/>
      <c r="C107" s="591" t="s">
        <v>610</v>
      </c>
      <c r="D107" s="207"/>
      <c r="E107" s="207"/>
      <c r="F107" s="592"/>
      <c r="G107" s="593"/>
      <c r="H107" s="592"/>
      <c r="I107" s="230" t="s">
        <v>525</v>
      </c>
      <c r="J107" s="632"/>
      <c r="K107" s="672">
        <v>45695</v>
      </c>
      <c r="L107" s="673">
        <v>38</v>
      </c>
      <c r="M107" s="672">
        <f>WORKDAY.INTL(K107,L107,1,Data!$C$3:$C$57)</f>
        <v>45750</v>
      </c>
      <c r="N107" s="121"/>
      <c r="P107" s="244">
        <v>1</v>
      </c>
      <c r="Q107" s="244">
        <f t="shared" ca="1" si="11"/>
        <v>1</v>
      </c>
      <c r="R107" s="121"/>
      <c r="T107" s="3"/>
      <c r="V107" s="120"/>
      <c r="W107" s="120"/>
      <c r="X107" s="120"/>
    </row>
    <row r="108" spans="2:24" s="111" customFormat="1" ht="14.25" hidden="1" customHeight="1">
      <c r="B108" s="590"/>
      <c r="C108" s="591" t="s">
        <v>611</v>
      </c>
      <c r="D108" s="207"/>
      <c r="E108" s="207"/>
      <c r="F108" s="592"/>
      <c r="G108" s="593"/>
      <c r="H108" s="592"/>
      <c r="I108" s="230" t="s">
        <v>525</v>
      </c>
      <c r="J108" s="632"/>
      <c r="K108" s="672">
        <v>45695</v>
      </c>
      <c r="L108" s="673">
        <v>38</v>
      </c>
      <c r="M108" s="672">
        <f>WORKDAY.INTL(K108,L108,1,Data!$C$3:$C$57)</f>
        <v>45750</v>
      </c>
      <c r="N108" s="121"/>
      <c r="P108" s="244">
        <v>1</v>
      </c>
      <c r="Q108" s="244">
        <f t="shared" ca="1" si="11"/>
        <v>1</v>
      </c>
      <c r="R108" s="121"/>
      <c r="T108" s="123"/>
      <c r="U108" s="120"/>
      <c r="V108" s="120"/>
      <c r="W108" s="120"/>
      <c r="X108" s="120"/>
    </row>
    <row r="109" spans="2:24" s="111" customFormat="1" ht="14.25" hidden="1" customHeight="1">
      <c r="B109" s="590"/>
      <c r="C109" s="591" t="s">
        <v>612</v>
      </c>
      <c r="D109" s="207"/>
      <c r="E109" s="207"/>
      <c r="F109" s="592"/>
      <c r="G109" s="593"/>
      <c r="H109" s="592"/>
      <c r="I109" s="230" t="s">
        <v>525</v>
      </c>
      <c r="J109" s="632"/>
      <c r="K109" s="672">
        <v>45695</v>
      </c>
      <c r="L109" s="673">
        <v>38</v>
      </c>
      <c r="M109" s="672">
        <f>WORKDAY.INTL(K109,L109,1,Data!$C$3:$C$57)</f>
        <v>45750</v>
      </c>
      <c r="N109" s="121"/>
      <c r="P109" s="244">
        <v>1</v>
      </c>
      <c r="Q109" s="244">
        <f t="shared" ca="1" si="11"/>
        <v>1</v>
      </c>
      <c r="R109" s="121"/>
      <c r="T109" s="123"/>
      <c r="U109" s="120"/>
      <c r="V109" s="120"/>
      <c r="W109" s="120"/>
      <c r="X109" s="120"/>
    </row>
    <row r="110" spans="2:24" s="111" customFormat="1" ht="14.25" hidden="1" customHeight="1">
      <c r="B110" s="590"/>
      <c r="C110" s="591" t="s">
        <v>613</v>
      </c>
      <c r="D110" s="207"/>
      <c r="E110" s="207"/>
      <c r="F110" s="592"/>
      <c r="G110" s="593"/>
      <c r="H110" s="592"/>
      <c r="I110" s="230" t="s">
        <v>525</v>
      </c>
      <c r="J110" s="632"/>
      <c r="K110" s="672">
        <v>45695</v>
      </c>
      <c r="L110" s="673">
        <v>38</v>
      </c>
      <c r="M110" s="672">
        <f>WORKDAY.INTL(K110,L110,1,Data!$C$3:$C$57)</f>
        <v>45750</v>
      </c>
      <c r="N110" s="121"/>
      <c r="P110" s="244">
        <v>1</v>
      </c>
      <c r="Q110" s="244">
        <f t="shared" ca="1" si="11"/>
        <v>1</v>
      </c>
      <c r="R110" s="121"/>
      <c r="T110" s="123"/>
      <c r="U110" s="120"/>
      <c r="V110" s="120"/>
      <c r="W110" s="120"/>
      <c r="X110" s="120"/>
    </row>
    <row r="111" spans="2:24" s="111" customFormat="1" ht="14.25" hidden="1" customHeight="1">
      <c r="B111" s="590"/>
      <c r="C111" s="591" t="s">
        <v>614</v>
      </c>
      <c r="D111" s="207"/>
      <c r="E111" s="207"/>
      <c r="F111" s="592"/>
      <c r="G111" s="593"/>
      <c r="H111" s="592"/>
      <c r="I111" s="230" t="s">
        <v>525</v>
      </c>
      <c r="J111" s="632"/>
      <c r="K111" s="672">
        <f>WORKDAY.INTL(M110,0,1,Data!$C$3:$C$57)</f>
        <v>45750</v>
      </c>
      <c r="L111" s="673">
        <v>20</v>
      </c>
      <c r="M111" s="672">
        <f>WORKDAY.INTL(K111,L111,1,Data!$C$3:$C$57)</f>
        <v>45783</v>
      </c>
      <c r="N111" s="121"/>
      <c r="P111" s="244">
        <v>1</v>
      </c>
      <c r="Q111" s="244">
        <f t="shared" ca="1" si="11"/>
        <v>1</v>
      </c>
      <c r="R111" s="121"/>
      <c r="T111" s="123"/>
      <c r="U111" s="120"/>
      <c r="V111" s="120"/>
      <c r="W111" s="120"/>
      <c r="X111" s="120"/>
    </row>
    <row r="112" spans="2:24" s="111" customFormat="1" ht="14.25" hidden="1" customHeight="1">
      <c r="B112" s="590"/>
      <c r="C112" s="591" t="s">
        <v>615</v>
      </c>
      <c r="D112" s="207"/>
      <c r="E112" s="207"/>
      <c r="F112" s="592"/>
      <c r="G112" s="593"/>
      <c r="H112" s="592"/>
      <c r="I112" s="230" t="s">
        <v>525</v>
      </c>
      <c r="J112" s="632"/>
      <c r="K112" s="672"/>
      <c r="L112" s="673"/>
      <c r="M112" s="672"/>
      <c r="N112" s="121"/>
      <c r="P112" s="244">
        <v>1</v>
      </c>
      <c r="Q112" s="244">
        <f t="shared" ca="1" si="11"/>
        <v>1</v>
      </c>
      <c r="R112" s="121"/>
      <c r="T112" s="123"/>
      <c r="U112" s="120"/>
      <c r="V112" s="120"/>
      <c r="W112" s="120"/>
      <c r="X112" s="120"/>
    </row>
    <row r="113" spans="2:24" s="111" customFormat="1" ht="14.25" hidden="1" customHeight="1">
      <c r="B113" s="590"/>
      <c r="C113" s="604" t="s">
        <v>616</v>
      </c>
      <c r="D113" s="207"/>
      <c r="E113" s="207"/>
      <c r="F113" s="592"/>
      <c r="G113" s="593"/>
      <c r="H113" s="592"/>
      <c r="I113" s="230" t="s">
        <v>525</v>
      </c>
      <c r="J113" s="632"/>
      <c r="K113" s="672">
        <v>45937</v>
      </c>
      <c r="L113" s="673">
        <v>69</v>
      </c>
      <c r="M113" s="672">
        <f>WORKDAY.INTL(K113,L113,1,Data!$C$3:$C$57)</f>
        <v>46069</v>
      </c>
      <c r="N113" s="121"/>
      <c r="P113" s="244">
        <v>1</v>
      </c>
      <c r="Q113" s="244">
        <f t="shared" ca="1" si="11"/>
        <v>1</v>
      </c>
      <c r="R113" s="121"/>
      <c r="T113" s="123"/>
      <c r="U113" s="120"/>
      <c r="V113" s="120"/>
      <c r="W113" s="120"/>
      <c r="X113" s="120"/>
    </row>
    <row r="114" spans="2:24" s="111" customFormat="1" ht="14.15" hidden="1" customHeight="1">
      <c r="B114" s="590"/>
      <c r="C114" s="591" t="s">
        <v>617</v>
      </c>
      <c r="D114" s="207"/>
      <c r="E114" s="207"/>
      <c r="F114" s="592"/>
      <c r="G114" s="593"/>
      <c r="H114" s="592"/>
      <c r="I114" s="230" t="s">
        <v>525</v>
      </c>
      <c r="J114" s="632"/>
      <c r="K114" s="672">
        <v>45853</v>
      </c>
      <c r="L114" s="673">
        <v>90</v>
      </c>
      <c r="M114" s="672">
        <f>WORKDAY.INTL(K114,L114,1,Data!$C$3:$C$57)</f>
        <v>45980</v>
      </c>
      <c r="N114" s="121"/>
      <c r="P114" s="244">
        <v>1</v>
      </c>
      <c r="Q114" s="244">
        <f t="shared" ca="1" si="11"/>
        <v>1</v>
      </c>
      <c r="R114" s="121" t="s">
        <v>618</v>
      </c>
      <c r="T114" s="123"/>
      <c r="U114" s="120"/>
      <c r="V114" s="120"/>
      <c r="W114" s="120"/>
      <c r="X114" s="120"/>
    </row>
    <row r="115" spans="2:24" s="111" customFormat="1" ht="14.25" hidden="1" customHeight="1">
      <c r="B115" s="590"/>
      <c r="C115" s="591" t="s">
        <v>619</v>
      </c>
      <c r="D115" s="207"/>
      <c r="E115" s="207"/>
      <c r="F115" s="592"/>
      <c r="G115" s="593"/>
      <c r="H115" s="592"/>
      <c r="I115" s="230" t="s">
        <v>525</v>
      </c>
      <c r="J115" s="632"/>
      <c r="K115" s="672">
        <v>45888</v>
      </c>
      <c r="L115" s="673">
        <v>70</v>
      </c>
      <c r="M115" s="672">
        <f>WORKDAY.INTL(K115,L115,1,Data!$C$3:$C$57)</f>
        <v>45987</v>
      </c>
      <c r="N115" s="121"/>
      <c r="P115" s="244">
        <v>1</v>
      </c>
      <c r="Q115" s="244">
        <f t="shared" ca="1" si="11"/>
        <v>1</v>
      </c>
      <c r="R115" s="121"/>
      <c r="T115" s="123"/>
      <c r="U115" s="120"/>
      <c r="V115" s="120"/>
      <c r="W115" s="120"/>
      <c r="X115" s="120"/>
    </row>
    <row r="116" spans="2:24" s="111" customFormat="1" ht="14.25" customHeight="1">
      <c r="B116" s="231"/>
      <c r="C116" s="207"/>
      <c r="D116" s="207"/>
      <c r="E116" s="207"/>
      <c r="F116" s="232"/>
      <c r="G116" s="232"/>
      <c r="H116" s="233"/>
      <c r="I116" s="230"/>
      <c r="J116" s="632"/>
      <c r="K116" s="674"/>
      <c r="L116" s="674"/>
      <c r="M116" s="675"/>
      <c r="N116" s="121"/>
      <c r="R116" s="121"/>
      <c r="T116" s="123"/>
      <c r="U116" s="120"/>
      <c r="V116" s="120"/>
      <c r="W116" s="120"/>
      <c r="X116" s="120"/>
    </row>
    <row r="117" spans="2:24" s="111" customFormat="1" ht="14.25" customHeight="1">
      <c r="B117" s="235">
        <v>8</v>
      </c>
      <c r="C117" s="236" t="s">
        <v>620</v>
      </c>
      <c r="D117" s="207"/>
      <c r="E117" s="207"/>
      <c r="F117" s="592"/>
      <c r="G117" s="593"/>
      <c r="H117" s="592"/>
      <c r="I117" s="212" t="s">
        <v>523</v>
      </c>
      <c r="J117" s="632"/>
      <c r="K117" s="670">
        <f>MIN(K118:K134)</f>
        <v>45838</v>
      </c>
      <c r="L117" s="671">
        <f>NETWORKDAYS(K117,M117,Data!$C$3:$C$57)</f>
        <v>230</v>
      </c>
      <c r="M117" s="670">
        <f>MAX(M118:M134)</f>
        <v>46202</v>
      </c>
      <c r="N117" s="121" t="s">
        <v>165</v>
      </c>
      <c r="P117" s="351">
        <f>AVERAGE(P118:P134)</f>
        <v>0.16764705882352943</v>
      </c>
      <c r="Q117" s="351">
        <f ca="1">AVERAGE(Q118:Q134)</f>
        <v>0.18379646482476147</v>
      </c>
      <c r="R117" s="121"/>
      <c r="T117" s="123"/>
      <c r="U117" s="120"/>
      <c r="V117" s="120"/>
      <c r="W117" s="120"/>
      <c r="X117" s="120"/>
    </row>
    <row r="118" spans="2:24" s="111" customFormat="1" ht="14.25" customHeight="1">
      <c r="B118" s="590"/>
      <c r="C118" s="604" t="s">
        <v>621</v>
      </c>
      <c r="D118" s="207"/>
      <c r="E118" s="207"/>
      <c r="F118" s="592"/>
      <c r="G118" s="593"/>
      <c r="H118" s="592"/>
      <c r="I118" s="230" t="s">
        <v>525</v>
      </c>
      <c r="J118" s="632"/>
      <c r="K118" s="672">
        <v>46051</v>
      </c>
      <c r="L118" s="673">
        <f>20*5</f>
        <v>100</v>
      </c>
      <c r="M118" s="672">
        <f>WORKDAY.INTL(K118,L118,1,Data!$C$3:$C$57)</f>
        <v>46198</v>
      </c>
      <c r="N118" s="121"/>
      <c r="P118" s="244">
        <v>0.2</v>
      </c>
      <c r="Q118" s="244">
        <f t="shared" ref="Q118:Q134" ca="1" si="12">_xlfn.LET(
  _xlpm.s,VALUE($K118),
  _xlpm.e,VALUE($M118),
  IF(OR(_xlpm.s="",_xlpm.e=""),"", IF(_xlpm.e&lt;=_xlpm.s, IF(TODAY()&gt;=_xlpm.e,1,0), MAX(0,MIN(1,(TODAY()-_xlpm.s)/(_xlpm.e-_xlpm.s)))))
)</f>
        <v>0.18367346938775511</v>
      </c>
      <c r="R118" s="121" t="s">
        <v>622</v>
      </c>
      <c r="T118" s="123"/>
      <c r="U118" s="120"/>
      <c r="V118" s="120"/>
      <c r="W118" s="120"/>
      <c r="X118" s="120"/>
    </row>
    <row r="119" spans="2:24" s="111" customFormat="1" ht="14.25" customHeight="1">
      <c r="B119" s="590"/>
      <c r="C119" s="604" t="s">
        <v>623</v>
      </c>
      <c r="D119" s="207"/>
      <c r="E119" s="207"/>
      <c r="F119" s="592"/>
      <c r="G119" s="593"/>
      <c r="H119" s="592"/>
      <c r="I119" s="230" t="s">
        <v>525</v>
      </c>
      <c r="J119" s="632">
        <v>0</v>
      </c>
      <c r="K119" s="672">
        <v>46069</v>
      </c>
      <c r="L119" s="673">
        <f>12*5</f>
        <v>60</v>
      </c>
      <c r="M119" s="672">
        <f>WORKDAY.INTL(K119,L119,1,Data!$C$3:$C$57)</f>
        <v>46157</v>
      </c>
      <c r="N119" s="121"/>
      <c r="P119" s="244">
        <v>0.1</v>
      </c>
      <c r="Q119" s="244">
        <f t="shared" ca="1" si="12"/>
        <v>0.10227272727272728</v>
      </c>
      <c r="R119" s="121" t="s">
        <v>624</v>
      </c>
      <c r="T119" s="123"/>
      <c r="U119" s="120"/>
      <c r="V119" s="120"/>
      <c r="W119" s="120"/>
      <c r="X119" s="120"/>
    </row>
    <row r="120" spans="2:24" s="111" customFormat="1" ht="14.25" customHeight="1">
      <c r="B120" s="590"/>
      <c r="C120" s="604" t="s">
        <v>625</v>
      </c>
      <c r="D120" s="207"/>
      <c r="E120" s="207"/>
      <c r="F120" s="592"/>
      <c r="G120" s="593"/>
      <c r="H120" s="592"/>
      <c r="I120" s="230" t="s">
        <v>525</v>
      </c>
      <c r="J120" s="632"/>
      <c r="K120" s="672">
        <v>46069</v>
      </c>
      <c r="L120" s="673">
        <f>12*5</f>
        <v>60</v>
      </c>
      <c r="M120" s="672">
        <f>WORKDAY.INTL(K120,L120,1,Data!$C$3:$C$57)</f>
        <v>46157</v>
      </c>
      <c r="N120" s="121"/>
      <c r="P120" s="244">
        <v>0.1</v>
      </c>
      <c r="Q120" s="244">
        <f ca="1">_xlfn.LET(
  _xlpm.s,VALUE($K120),
  _xlpm.e,VALUE($M120),
  IF(OR(_xlpm.s="",_xlpm.e=""),"", IF(_xlpm.e&lt;=_xlpm.s, IF(TODAY()&gt;=_xlpm.e,1,0), MAX(0,MIN(1,(TODAY()-_xlpm.s)/(_xlpm.e-_xlpm.s)))))
)</f>
        <v>0.10227272727272728</v>
      </c>
      <c r="R120" s="121" t="s">
        <v>624</v>
      </c>
      <c r="T120" s="123"/>
      <c r="U120" s="120"/>
      <c r="V120" s="120"/>
      <c r="W120" s="120"/>
      <c r="X120" s="120"/>
    </row>
    <row r="121" spans="2:24" s="111" customFormat="1" ht="14.25" customHeight="1">
      <c r="B121" s="590"/>
      <c r="C121" s="604" t="s">
        <v>626</v>
      </c>
      <c r="D121" s="207"/>
      <c r="E121" s="207"/>
      <c r="F121" s="592"/>
      <c r="G121" s="593"/>
      <c r="H121" s="592"/>
      <c r="I121" s="230" t="s">
        <v>525</v>
      </c>
      <c r="J121" s="632">
        <v>0</v>
      </c>
      <c r="K121" s="672">
        <v>46069</v>
      </c>
      <c r="L121" s="673">
        <v>55</v>
      </c>
      <c r="M121" s="672">
        <f>WORKDAY.INTL(K121,L121,1,Data!$C$3:$C$57)</f>
        <v>46150</v>
      </c>
      <c r="N121" s="121"/>
      <c r="P121" s="244">
        <v>0.1</v>
      </c>
      <c r="Q121" s="244">
        <f ca="1">_xlfn.LET(
  _xlpm.s,VALUE($K121),
  _xlpm.e,VALUE($M121),
  IF(OR(_xlpm.s="",_xlpm.e=""),"", IF(_xlpm.e&lt;=_xlpm.s, IF(TODAY()&gt;=_xlpm.e,1,0), MAX(0,MIN(1,(TODAY()-_xlpm.s)/(_xlpm.e-_xlpm.s)))))
)</f>
        <v>0.1111111111111111</v>
      </c>
      <c r="R121" s="121"/>
      <c r="T121" s="123"/>
      <c r="U121" s="120"/>
      <c r="V121" s="120"/>
      <c r="W121" s="120"/>
      <c r="X121" s="120"/>
    </row>
    <row r="122" spans="2:24" s="111" customFormat="1" ht="14.25" customHeight="1">
      <c r="B122" s="590"/>
      <c r="C122" s="604" t="s">
        <v>627</v>
      </c>
      <c r="D122" s="207"/>
      <c r="E122" s="207"/>
      <c r="F122" s="592"/>
      <c r="G122" s="593"/>
      <c r="H122" s="592"/>
      <c r="I122" s="230"/>
      <c r="J122" s="632">
        <v>20</v>
      </c>
      <c r="K122" s="672">
        <f>WORKDAY.INTL(K121,J122,1,Data!$C$3:$C$57)</f>
        <v>46097</v>
      </c>
      <c r="L122" s="673">
        <f>10*5</f>
        <v>50</v>
      </c>
      <c r="M122" s="672">
        <f>WORKDAY.INTL(K122,L122,1,Data!$C$3:$C$57)</f>
        <v>46171</v>
      </c>
      <c r="N122" s="121"/>
      <c r="P122" s="244">
        <v>0</v>
      </c>
      <c r="Q122" s="244">
        <f t="shared" ref="Q122:Q123" ca="1" si="13">_xlfn.LET(
  _xlpm.s,VALUE($K122),
  _xlpm.e,VALUE($M122),
  IF(OR(_xlpm.s="",_xlpm.e=""),"", IF(_xlpm.e&lt;=_xlpm.s, IF(TODAY()&gt;=_xlpm.e,1,0), MAX(0,MIN(1,(TODAY()-_xlpm.s)/(_xlpm.e-_xlpm.s)))))
)</f>
        <v>0</v>
      </c>
      <c r="R122" s="121"/>
      <c r="T122" s="123"/>
      <c r="U122" s="120"/>
      <c r="V122" s="120"/>
      <c r="W122" s="120"/>
      <c r="X122" s="120"/>
    </row>
    <row r="123" spans="2:24" s="111" customFormat="1" ht="14.25" customHeight="1">
      <c r="B123" s="590"/>
      <c r="C123" s="604" t="s">
        <v>628</v>
      </c>
      <c r="D123" s="207"/>
      <c r="E123" s="207"/>
      <c r="F123" s="592"/>
      <c r="G123" s="593"/>
      <c r="H123" s="592"/>
      <c r="I123" s="230"/>
      <c r="J123" s="632">
        <v>20</v>
      </c>
      <c r="K123" s="672">
        <f>WORKDAY.INTL(K122,J123,1,Data!$C$3:$C$57)</f>
        <v>46127</v>
      </c>
      <c r="L123" s="673">
        <f>10*5</f>
        <v>50</v>
      </c>
      <c r="M123" s="672">
        <f>WORKDAY.INTL(K123,L123,1,Data!$C$3:$C$57)</f>
        <v>46202</v>
      </c>
      <c r="N123" s="121"/>
      <c r="P123" s="244">
        <v>0</v>
      </c>
      <c r="Q123" s="244">
        <f t="shared" ca="1" si="13"/>
        <v>0</v>
      </c>
      <c r="R123" s="121"/>
      <c r="T123" s="123"/>
      <c r="U123" s="120"/>
      <c r="V123" s="120"/>
      <c r="W123" s="120"/>
      <c r="X123" s="120"/>
    </row>
    <row r="124" spans="2:24" s="111" customFormat="1" ht="14.25" customHeight="1">
      <c r="B124" s="590"/>
      <c r="C124" s="604" t="s">
        <v>629</v>
      </c>
      <c r="D124" s="207"/>
      <c r="E124" s="207"/>
      <c r="F124" s="592"/>
      <c r="G124" s="593"/>
      <c r="H124" s="592"/>
      <c r="I124" s="230" t="s">
        <v>525</v>
      </c>
      <c r="J124" s="632"/>
      <c r="K124" s="672">
        <v>46084</v>
      </c>
      <c r="L124" s="673">
        <f>10*5</f>
        <v>50</v>
      </c>
      <c r="M124" s="672">
        <f>WORKDAY.INTL(K124,L124,1,Data!$C$3:$C$57)</f>
        <v>46160</v>
      </c>
      <c r="N124" s="121"/>
      <c r="P124" s="244">
        <v>0</v>
      </c>
      <c r="Q124" s="244">
        <f t="shared" ca="1" si="12"/>
        <v>0</v>
      </c>
      <c r="R124" s="121"/>
      <c r="T124" s="123"/>
      <c r="U124" s="120"/>
      <c r="V124" s="120"/>
      <c r="W124" s="120"/>
      <c r="X124" s="120"/>
    </row>
    <row r="125" spans="2:24" s="111" customFormat="1" ht="14.25" customHeight="1">
      <c r="B125" s="590"/>
      <c r="C125" s="604" t="s">
        <v>630</v>
      </c>
      <c r="D125" s="207"/>
      <c r="E125" s="207"/>
      <c r="F125" s="592"/>
      <c r="G125" s="593"/>
      <c r="H125" s="592"/>
      <c r="I125" s="230" t="s">
        <v>525</v>
      </c>
      <c r="J125" s="632">
        <v>15</v>
      </c>
      <c r="K125" s="672">
        <f>K118</f>
        <v>46051</v>
      </c>
      <c r="L125" s="673">
        <f>12*5</f>
        <v>60</v>
      </c>
      <c r="M125" s="672">
        <f>WORKDAY.INTL(K125,L125,1,Data!$C$3:$C$57)</f>
        <v>46140</v>
      </c>
      <c r="N125" s="121"/>
      <c r="P125" s="244">
        <v>0.25</v>
      </c>
      <c r="Q125" s="244">
        <f t="shared" ca="1" si="12"/>
        <v>0.30337078651685395</v>
      </c>
      <c r="R125" s="121"/>
      <c r="T125" s="123"/>
      <c r="U125" s="120"/>
      <c r="V125" s="120"/>
      <c r="W125" s="120"/>
      <c r="X125" s="120"/>
    </row>
    <row r="126" spans="2:24" s="111" customFormat="1" ht="14.25" customHeight="1">
      <c r="B126" s="590"/>
      <c r="C126" s="604" t="s">
        <v>631</v>
      </c>
      <c r="D126" s="207"/>
      <c r="E126" s="207"/>
      <c r="F126" s="592"/>
      <c r="G126" s="593"/>
      <c r="H126" s="592"/>
      <c r="I126" s="230" t="s">
        <v>525</v>
      </c>
      <c r="J126" s="632"/>
      <c r="K126" s="672">
        <v>46084</v>
      </c>
      <c r="L126" s="673">
        <f>12*5</f>
        <v>60</v>
      </c>
      <c r="M126" s="672">
        <f>WORKDAY.INTL(K126,L126,1,Data!$C$3:$C$57)</f>
        <v>46174</v>
      </c>
      <c r="N126" s="121"/>
      <c r="P126" s="244">
        <v>0</v>
      </c>
      <c r="Q126" s="244">
        <f t="shared" ca="1" si="12"/>
        <v>0</v>
      </c>
      <c r="R126" s="121"/>
      <c r="T126" s="123"/>
      <c r="U126" s="120"/>
      <c r="V126" s="120"/>
      <c r="W126" s="120"/>
      <c r="X126" s="120"/>
    </row>
    <row r="127" spans="2:24" s="111" customFormat="1" ht="14.25" customHeight="1">
      <c r="B127" s="590"/>
      <c r="C127" s="604" t="s">
        <v>632</v>
      </c>
      <c r="D127" s="207"/>
      <c r="E127" s="207"/>
      <c r="F127" s="592"/>
      <c r="G127" s="593"/>
      <c r="H127" s="592"/>
      <c r="I127" s="230" t="s">
        <v>525</v>
      </c>
      <c r="J127" s="632"/>
      <c r="K127" s="672">
        <v>46080</v>
      </c>
      <c r="L127" s="673">
        <f>16*5</f>
        <v>80</v>
      </c>
      <c r="M127" s="672">
        <f>WORKDAY.INTL(K127,L127,1,Data!$C$3:$C$57)</f>
        <v>46199</v>
      </c>
      <c r="N127" s="121"/>
      <c r="P127" s="244">
        <v>0</v>
      </c>
      <c r="Q127" s="244">
        <f t="shared" ca="1" si="12"/>
        <v>0</v>
      </c>
      <c r="R127" s="121"/>
      <c r="T127" s="123"/>
      <c r="U127" s="120"/>
      <c r="V127" s="120"/>
      <c r="W127" s="120"/>
      <c r="X127" s="120"/>
    </row>
    <row r="128" spans="2:24" s="111" customFormat="1" ht="14.25" customHeight="1">
      <c r="B128" s="590"/>
      <c r="C128" s="591" t="s">
        <v>633</v>
      </c>
      <c r="D128" s="207"/>
      <c r="E128" s="207"/>
      <c r="F128" s="592"/>
      <c r="G128" s="593"/>
      <c r="H128" s="592"/>
      <c r="I128" s="230" t="s">
        <v>525</v>
      </c>
      <c r="J128" s="632"/>
      <c r="K128" s="672">
        <v>46081</v>
      </c>
      <c r="L128" s="673">
        <f>4*5</f>
        <v>20</v>
      </c>
      <c r="M128" s="672">
        <f>WORKDAY.INTL(K128,L128,1,Data!$C$3:$C$57)</f>
        <v>46108</v>
      </c>
      <c r="N128" s="121"/>
      <c r="P128" s="244">
        <v>0</v>
      </c>
      <c r="Q128" s="244">
        <f t="shared" ca="1" si="12"/>
        <v>0</v>
      </c>
      <c r="R128" s="121"/>
      <c r="T128" s="123"/>
      <c r="U128" s="120"/>
      <c r="V128" s="120"/>
      <c r="W128" s="120"/>
      <c r="X128" s="120"/>
    </row>
    <row r="129" spans="2:24" s="111" customFormat="1" ht="14.25" customHeight="1">
      <c r="B129" s="590"/>
      <c r="C129" s="591" t="s">
        <v>634</v>
      </c>
      <c r="D129" s="207"/>
      <c r="E129" s="207"/>
      <c r="F129" s="592"/>
      <c r="G129" s="593"/>
      <c r="H129" s="592"/>
      <c r="I129" s="230" t="s">
        <v>525</v>
      </c>
      <c r="J129" s="632"/>
      <c r="K129" s="672">
        <v>46055</v>
      </c>
      <c r="L129" s="673">
        <f>12*5</f>
        <v>60</v>
      </c>
      <c r="M129" s="672">
        <f>WORKDAY.INTL(K129,L129,1,Data!$C$3:$C$57)</f>
        <v>46142</v>
      </c>
      <c r="N129" s="121"/>
      <c r="P129" s="244">
        <v>0.1</v>
      </c>
      <c r="Q129" s="244">
        <f t="shared" ca="1" si="12"/>
        <v>0.26436781609195403</v>
      </c>
      <c r="R129" s="121"/>
      <c r="T129" s="123"/>
      <c r="U129" s="120"/>
    </row>
    <row r="130" spans="2:24" s="111" customFormat="1" ht="14.25" customHeight="1">
      <c r="B130" s="590"/>
      <c r="C130" s="240" t="s">
        <v>635</v>
      </c>
      <c r="D130" s="207"/>
      <c r="E130" s="207"/>
      <c r="F130" s="592"/>
      <c r="G130" s="593"/>
      <c r="H130" s="592"/>
      <c r="I130" s="230"/>
      <c r="J130" s="632">
        <v>7</v>
      </c>
      <c r="K130" s="672">
        <v>46055</v>
      </c>
      <c r="L130" s="673">
        <v>60</v>
      </c>
      <c r="M130" s="672">
        <v>46142</v>
      </c>
      <c r="N130" s="121"/>
      <c r="P130" s="244">
        <v>0.25</v>
      </c>
      <c r="Q130" s="244">
        <f t="shared" ca="1" si="12"/>
        <v>0.26436781609195403</v>
      </c>
      <c r="R130" s="121"/>
      <c r="T130" s="123"/>
      <c r="U130" s="120"/>
    </row>
    <row r="131" spans="2:24" s="111" customFormat="1" ht="14.25" customHeight="1">
      <c r="B131" s="590"/>
      <c r="C131" s="240" t="s">
        <v>636</v>
      </c>
      <c r="D131" s="207"/>
      <c r="E131" s="207"/>
      <c r="F131" s="592"/>
      <c r="G131" s="593"/>
      <c r="H131" s="592"/>
      <c r="I131" s="230"/>
      <c r="J131" s="632">
        <v>7</v>
      </c>
      <c r="K131" s="672">
        <v>46055</v>
      </c>
      <c r="L131" s="673">
        <v>60</v>
      </c>
      <c r="M131" s="672">
        <v>46142</v>
      </c>
      <c r="N131" s="121"/>
      <c r="P131" s="244">
        <v>0.25</v>
      </c>
      <c r="Q131" s="244">
        <f t="shared" ca="1" si="12"/>
        <v>0.26436781609195403</v>
      </c>
      <c r="R131" s="121"/>
      <c r="T131" s="123"/>
      <c r="U131" s="120"/>
    </row>
    <row r="132" spans="2:24" s="111" customFormat="1" ht="14.25" customHeight="1">
      <c r="B132" s="590"/>
      <c r="C132" s="240" t="s">
        <v>637</v>
      </c>
      <c r="D132" s="207"/>
      <c r="E132" s="207"/>
      <c r="F132" s="592"/>
      <c r="G132" s="593"/>
      <c r="H132" s="592"/>
      <c r="I132" s="230"/>
      <c r="J132" s="632">
        <v>7</v>
      </c>
      <c r="K132" s="672">
        <v>46055</v>
      </c>
      <c r="L132" s="673">
        <v>60</v>
      </c>
      <c r="M132" s="672">
        <v>46142</v>
      </c>
      <c r="N132" s="121"/>
      <c r="P132" s="244">
        <v>0.25</v>
      </c>
      <c r="Q132" s="244">
        <f t="shared" ca="1" si="12"/>
        <v>0.26436781609195403</v>
      </c>
      <c r="R132" s="121"/>
      <c r="T132" s="123"/>
      <c r="U132" s="120"/>
    </row>
    <row r="133" spans="2:24" s="111" customFormat="1" ht="14.25" customHeight="1">
      <c r="B133" s="590"/>
      <c r="C133" s="240" t="s">
        <v>638</v>
      </c>
      <c r="D133" s="207"/>
      <c r="E133" s="207"/>
      <c r="F133" s="592"/>
      <c r="G133" s="593"/>
      <c r="H133" s="592"/>
      <c r="I133" s="230"/>
      <c r="J133" s="632">
        <v>7</v>
      </c>
      <c r="K133" s="672">
        <v>46055</v>
      </c>
      <c r="L133" s="673">
        <v>60</v>
      </c>
      <c r="M133" s="672">
        <v>46142</v>
      </c>
      <c r="N133" s="121"/>
      <c r="P133" s="244">
        <v>0.25</v>
      </c>
      <c r="Q133" s="244">
        <f t="shared" ca="1" si="12"/>
        <v>0.26436781609195403</v>
      </c>
      <c r="R133" s="121"/>
      <c r="T133" s="123"/>
      <c r="U133" s="120"/>
    </row>
    <row r="134" spans="2:24" s="111" customFormat="1" ht="14.25" hidden="1" customHeight="1">
      <c r="B134" s="590"/>
      <c r="C134" s="591" t="s">
        <v>639</v>
      </c>
      <c r="D134" s="207"/>
      <c r="E134" s="207"/>
      <c r="F134" s="592"/>
      <c r="G134" s="593"/>
      <c r="H134" s="592"/>
      <c r="I134" s="230" t="s">
        <v>525</v>
      </c>
      <c r="J134" s="632"/>
      <c r="K134" s="672">
        <v>45838</v>
      </c>
      <c r="L134" s="673">
        <v>40</v>
      </c>
      <c r="M134" s="672">
        <f>WORKDAY.INTL(K134,L134,1,Data!$C$3:$C$57)</f>
        <v>45894</v>
      </c>
      <c r="N134" s="121"/>
      <c r="P134" s="244">
        <v>1</v>
      </c>
      <c r="Q134" s="244">
        <f t="shared" ca="1" si="12"/>
        <v>1</v>
      </c>
      <c r="R134" s="121"/>
      <c r="T134" s="123"/>
      <c r="U134" s="120"/>
      <c r="V134" s="120"/>
      <c r="W134" s="120"/>
      <c r="X134" s="120"/>
    </row>
    <row r="135" spans="2:24" s="111" customFormat="1" ht="14.25" customHeight="1">
      <c r="B135" s="231"/>
      <c r="C135" s="207"/>
      <c r="D135" s="207"/>
      <c r="E135" s="207"/>
      <c r="F135" s="232"/>
      <c r="G135" s="232"/>
      <c r="H135" s="233"/>
      <c r="I135" s="230"/>
      <c r="J135" s="632"/>
      <c r="K135" s="674"/>
      <c r="L135" s="674"/>
      <c r="M135" s="675"/>
      <c r="N135" s="121"/>
      <c r="R135" s="685"/>
      <c r="T135" s="123"/>
      <c r="U135" s="120"/>
      <c r="V135" s="120"/>
      <c r="W135" s="120"/>
      <c r="X135" s="120"/>
    </row>
    <row r="136" spans="2:24" s="111" customFormat="1" ht="14.25" customHeight="1">
      <c r="B136" s="235">
        <v>10</v>
      </c>
      <c r="C136" s="236" t="s">
        <v>640</v>
      </c>
      <c r="D136" s="211"/>
      <c r="E136" s="211"/>
      <c r="F136" s="237">
        <f>MIN(F137:F177)</f>
        <v>45810</v>
      </c>
      <c r="G136" s="238">
        <f>H136-F136</f>
        <v>141</v>
      </c>
      <c r="H136" s="237">
        <f>MAX(H137:H177)</f>
        <v>45951</v>
      </c>
      <c r="I136" s="212" t="s">
        <v>523</v>
      </c>
      <c r="J136" s="631"/>
      <c r="K136" s="670">
        <f>MIN(K137:K178)</f>
        <v>46134</v>
      </c>
      <c r="L136" s="671">
        <f>NETWORKDAYS(K136,M136,Data!$C$3:$C$57)</f>
        <v>100</v>
      </c>
      <c r="M136" s="670">
        <f>MAX(M137:M178)</f>
        <v>46279</v>
      </c>
      <c r="N136" s="121" t="s">
        <v>641</v>
      </c>
      <c r="O136" s="113"/>
      <c r="P136" s="351">
        <f>AVERAGE(P137:P177)</f>
        <v>0</v>
      </c>
      <c r="Q136" s="351">
        <f ca="1">AVERAGE(Q137:Q177)</f>
        <v>0</v>
      </c>
      <c r="R136" s="121"/>
      <c r="T136" s="3"/>
      <c r="V136" s="120"/>
      <c r="W136" s="120"/>
      <c r="X136" s="120"/>
    </row>
    <row r="137" spans="2:24" s="111" customFormat="1" ht="14.25" customHeight="1">
      <c r="B137" s="239"/>
      <c r="C137" s="240" t="s">
        <v>642</v>
      </c>
      <c r="D137" s="207"/>
      <c r="E137" s="207"/>
      <c r="F137" s="592">
        <v>45810</v>
      </c>
      <c r="G137" s="242">
        <v>2</v>
      </c>
      <c r="H137" s="241">
        <f>WORKDAY.INTL(F137,G137,1,Data!$C$3:$C$57)</f>
        <v>45812</v>
      </c>
      <c r="I137" s="230" t="s">
        <v>525</v>
      </c>
      <c r="J137" s="632"/>
      <c r="K137" s="672">
        <f>M22</f>
        <v>46134</v>
      </c>
      <c r="L137" s="673">
        <v>1</v>
      </c>
      <c r="M137" s="672">
        <f>WORKDAY.INTL(K137,L137,1,Data!$C$3:$C$57)</f>
        <v>46135</v>
      </c>
      <c r="N137" s="121"/>
      <c r="P137" s="244">
        <v>0</v>
      </c>
      <c r="Q137" s="244">
        <f t="shared" ref="Q137:Q174" ca="1" si="14">_xlfn.LET(
  _xlpm.s,VALUE($K137),
  _xlpm.e,VALUE($M137),
  IF(OR(_xlpm.s="",_xlpm.e=""),"", IF(_xlpm.e&lt;=_xlpm.s, IF(TODAY()&gt;=_xlpm.e,1,0), MAX(0,MIN(1,(TODAY()-_xlpm.s)/(_xlpm.e-_xlpm.s)))))
)</f>
        <v>0</v>
      </c>
      <c r="R137" s="121"/>
      <c r="T137" s="123"/>
      <c r="U137" s="120"/>
      <c r="V137" s="120"/>
      <c r="W137" s="120"/>
      <c r="X137" s="120"/>
    </row>
    <row r="138" spans="2:24" s="111" customFormat="1" ht="14.25" customHeight="1">
      <c r="B138" s="239"/>
      <c r="C138" s="604" t="s">
        <v>643</v>
      </c>
      <c r="D138" s="207"/>
      <c r="E138" s="207"/>
      <c r="F138" s="592">
        <f>WORKDAY.INTL(H137,0,1,Data!$C$3:$C$57)</f>
        <v>45812</v>
      </c>
      <c r="G138" s="242">
        <v>2</v>
      </c>
      <c r="H138" s="241">
        <f>WORKDAY.INTL(F138,G138,1,Data!$C$3:$C$57)</f>
        <v>45814</v>
      </c>
      <c r="I138" s="230" t="s">
        <v>525</v>
      </c>
      <c r="J138" s="632"/>
      <c r="K138" s="672">
        <f>WORKDAY.INTL(M137,0,1,Data!$C$3:$C$57)</f>
        <v>46135</v>
      </c>
      <c r="L138" s="673">
        <v>1</v>
      </c>
      <c r="M138" s="672">
        <f>WORKDAY.INTL(K138,L138,1,Data!$C$3:$C$57)</f>
        <v>46136</v>
      </c>
      <c r="N138" s="121"/>
      <c r="P138" s="244">
        <v>0</v>
      </c>
      <c r="Q138" s="244">
        <f t="shared" ca="1" si="14"/>
        <v>0</v>
      </c>
      <c r="R138" s="121"/>
      <c r="T138" s="123"/>
      <c r="U138" s="120"/>
      <c r="V138" s="120"/>
      <c r="W138" s="120"/>
      <c r="X138" s="120"/>
    </row>
    <row r="139" spans="2:24" s="111" customFormat="1" ht="14.25" customHeight="1">
      <c r="B139" s="239"/>
      <c r="C139" s="240" t="s">
        <v>644</v>
      </c>
      <c r="D139" s="207"/>
      <c r="E139" s="207"/>
      <c r="F139" s="592">
        <f>WORKDAY.INTL(H138,0,1,Data!$C$3:$C$57)</f>
        <v>45814</v>
      </c>
      <c r="G139" s="242">
        <v>2</v>
      </c>
      <c r="H139" s="241">
        <f>WORKDAY.INTL(F139,G139,1,Data!$C$3:$C$57)</f>
        <v>45818</v>
      </c>
      <c r="I139" s="230" t="s">
        <v>525</v>
      </c>
      <c r="J139" s="632"/>
      <c r="K139" s="672">
        <f>WORKDAY.INTL(M138,0,1,Data!$C$3:$C$57)</f>
        <v>46136</v>
      </c>
      <c r="L139" s="673">
        <v>2</v>
      </c>
      <c r="M139" s="672">
        <f>WORKDAY.INTL(K139,L139,1,Data!$C$3:$C$57)</f>
        <v>46141</v>
      </c>
      <c r="N139" s="121"/>
      <c r="P139" s="244">
        <v>0</v>
      </c>
      <c r="Q139" s="244">
        <f t="shared" ca="1" si="14"/>
        <v>0</v>
      </c>
      <c r="R139" s="121"/>
      <c r="T139" s="123"/>
      <c r="U139" s="120"/>
      <c r="V139" s="120"/>
      <c r="W139" s="120"/>
      <c r="X139" s="120"/>
    </row>
    <row r="140" spans="2:24" s="111" customFormat="1" ht="14.25" customHeight="1" thickBot="1">
      <c r="B140" s="239"/>
      <c r="C140" s="594" t="s">
        <v>645</v>
      </c>
      <c r="D140" s="207"/>
      <c r="E140" s="207"/>
      <c r="F140" s="592">
        <f>WORKDAY.INTL(H139,0,1,Data!$C$3:$C$57)</f>
        <v>45818</v>
      </c>
      <c r="G140" s="242">
        <v>5</v>
      </c>
      <c r="H140" s="241">
        <f>WORKDAY.INTL(F140,G140,1,Data!$C$3:$C$57)</f>
        <v>45826</v>
      </c>
      <c r="I140" s="230" t="s">
        <v>525</v>
      </c>
      <c r="J140" s="632"/>
      <c r="K140" s="672">
        <f>WORKDAY.INTL(M121,0,1,Data!$C$3:$C$57)</f>
        <v>46150</v>
      </c>
      <c r="L140" s="673">
        <v>5</v>
      </c>
      <c r="M140" s="672">
        <f>WORKDAY.INTL(K140,L140,1,Data!$C$3:$C$57)</f>
        <v>46157</v>
      </c>
      <c r="N140" s="121"/>
      <c r="P140" s="244">
        <v>0</v>
      </c>
      <c r="Q140" s="244">
        <f t="shared" ca="1" si="14"/>
        <v>0</v>
      </c>
      <c r="R140" s="121"/>
      <c r="T140" s="123"/>
      <c r="U140" s="120"/>
      <c r="V140" s="120"/>
      <c r="W140" s="120"/>
      <c r="X140" s="120"/>
    </row>
    <row r="141" spans="2:24" s="111" customFormat="1" ht="14.25" customHeight="1" thickTop="1">
      <c r="B141" s="239"/>
      <c r="C141" s="595" t="s">
        <v>646</v>
      </c>
      <c r="D141" s="207"/>
      <c r="E141" s="207">
        <v>0</v>
      </c>
      <c r="F141" s="592">
        <f>WORKDAY.INTL(F140,0,1,Data!$C$3:$C$57)</f>
        <v>45818</v>
      </c>
      <c r="G141" s="242">
        <v>10</v>
      </c>
      <c r="H141" s="241">
        <f>WORKDAY.INTL(F141,G141,1,Data!$C$3:$C$57)</f>
        <v>45833</v>
      </c>
      <c r="I141" s="230" t="s">
        <v>525</v>
      </c>
      <c r="J141" s="632">
        <v>0</v>
      </c>
      <c r="K141" s="672">
        <f>R142</f>
        <v>46146</v>
      </c>
      <c r="L141" s="673">
        <v>8</v>
      </c>
      <c r="M141" s="672">
        <f>WORKDAY.INTL(K141,L141,1,Data!$C$3:$C$57)</f>
        <v>46156</v>
      </c>
      <c r="N141" s="121"/>
      <c r="P141" s="244">
        <v>0</v>
      </c>
      <c r="Q141" s="244">
        <f t="shared" ca="1" si="14"/>
        <v>0</v>
      </c>
      <c r="R141" s="121">
        <v>3000</v>
      </c>
      <c r="T141" s="123"/>
      <c r="U141" s="120"/>
      <c r="V141" s="120"/>
      <c r="W141" s="120"/>
      <c r="X141" s="120"/>
    </row>
    <row r="142" spans="2:24" s="111" customFormat="1" ht="14.25" customHeight="1">
      <c r="B142" s="239"/>
      <c r="C142" s="596" t="s">
        <v>647</v>
      </c>
      <c r="D142" s="207"/>
      <c r="E142" s="207">
        <v>3</v>
      </c>
      <c r="F142" s="592">
        <f>WORKDAY.INTL(F141,E142,1,Data!$C$3:$C$57)</f>
        <v>45821</v>
      </c>
      <c r="G142" s="242">
        <v>12</v>
      </c>
      <c r="H142" s="241">
        <f>WORKDAY.INTL(F142,G142,1,Data!$C$3:$C$57)</f>
        <v>45840</v>
      </c>
      <c r="I142" s="230" t="s">
        <v>525</v>
      </c>
      <c r="J142" s="632">
        <v>3</v>
      </c>
      <c r="K142" s="672">
        <f>WORKDAY.INTL(K141,J142,1,Data!$C$3:$C$57)</f>
        <v>46149</v>
      </c>
      <c r="L142" s="673">
        <v>7</v>
      </c>
      <c r="M142" s="672">
        <f>WORKDAY.INTL(K142,L142,1,Data!$C$3:$C$57)</f>
        <v>46160</v>
      </c>
      <c r="N142" s="121"/>
      <c r="P142" s="244">
        <v>0</v>
      </c>
      <c r="Q142" s="244">
        <f t="shared" ca="1" si="14"/>
        <v>0</v>
      </c>
      <c r="R142" s="819">
        <v>46146</v>
      </c>
      <c r="T142" s="123"/>
      <c r="U142" s="120"/>
      <c r="V142" s="120"/>
      <c r="W142" s="120"/>
      <c r="X142" s="120"/>
    </row>
    <row r="143" spans="2:24" s="111" customFormat="1" ht="14.25" customHeight="1">
      <c r="B143" s="239"/>
      <c r="C143" s="596" t="s">
        <v>648</v>
      </c>
      <c r="D143" s="207"/>
      <c r="E143" s="207">
        <v>4</v>
      </c>
      <c r="F143" s="592">
        <f>WORKDAY.INTL(F142,E143,1,Data!$C$3:$C$57)</f>
        <v>45828</v>
      </c>
      <c r="G143" s="242">
        <v>16</v>
      </c>
      <c r="H143" s="241">
        <f>WORKDAY.INTL(F143,G143,1,Data!$C$3:$C$57)</f>
        <v>45852</v>
      </c>
      <c r="I143" s="230" t="s">
        <v>525</v>
      </c>
      <c r="J143" s="632">
        <v>4</v>
      </c>
      <c r="K143" s="672">
        <f>WORKDAY.INTL(K142,J143,1,Data!$C$3:$C$57)</f>
        <v>46155</v>
      </c>
      <c r="L143" s="673">
        <v>6</v>
      </c>
      <c r="M143" s="672">
        <f>WORKDAY.INTL(K143,L143,1,Data!$C$3:$C$57)</f>
        <v>46163</v>
      </c>
      <c r="N143" s="121"/>
      <c r="P143" s="244">
        <v>0</v>
      </c>
      <c r="Q143" s="244">
        <f t="shared" ca="1" si="14"/>
        <v>0</v>
      </c>
      <c r="R143" s="121">
        <f>R141/600</f>
        <v>5</v>
      </c>
      <c r="T143" s="123"/>
      <c r="U143" s="120"/>
      <c r="V143" s="120"/>
      <c r="W143" s="120"/>
      <c r="X143" s="120"/>
    </row>
    <row r="144" spans="2:24" s="111" customFormat="1" ht="14.25" customHeight="1">
      <c r="B144" s="239"/>
      <c r="C144" s="596" t="s">
        <v>649</v>
      </c>
      <c r="D144" s="207"/>
      <c r="E144" s="207">
        <v>-5</v>
      </c>
      <c r="F144" s="592">
        <f>WORKDAY.INTL(H143,E144,1,Data!$C$3:$C$57)</f>
        <v>45845</v>
      </c>
      <c r="G144" s="242">
        <v>2</v>
      </c>
      <c r="H144" s="241">
        <f>WORKDAY.INTL(F144,G144,1,Data!$C$3:$C$57)</f>
        <v>45847</v>
      </c>
      <c r="I144" s="230" t="s">
        <v>525</v>
      </c>
      <c r="J144" s="632">
        <v>-5</v>
      </c>
      <c r="K144" s="672">
        <f>WORKDAY.INTL(M143,J144,1,Data!$C$3:$C$57)</f>
        <v>46156</v>
      </c>
      <c r="L144" s="673">
        <v>5</v>
      </c>
      <c r="M144" s="672">
        <f>WORKDAY.INTL(K144,L144,1,Data!$C$3:$C$57)</f>
        <v>46163</v>
      </c>
      <c r="N144" s="121"/>
      <c r="P144" s="244">
        <v>0</v>
      </c>
      <c r="Q144" s="244">
        <f t="shared" ca="1" si="14"/>
        <v>0</v>
      </c>
      <c r="R144" s="121">
        <f>R143*5</f>
        <v>25</v>
      </c>
      <c r="T144" s="123"/>
      <c r="U144" s="120"/>
      <c r="V144" s="120"/>
      <c r="W144" s="120"/>
      <c r="X144" s="120"/>
    </row>
    <row r="145" spans="2:24" s="111" customFormat="1" ht="14.25" customHeight="1">
      <c r="B145" s="239"/>
      <c r="C145" s="596" t="s">
        <v>650</v>
      </c>
      <c r="D145" s="207"/>
      <c r="E145" s="207">
        <v>0</v>
      </c>
      <c r="F145" s="592">
        <f>WORKDAY.INTL(F144,E145,1,Data!$C$3:$C$57)</f>
        <v>45845</v>
      </c>
      <c r="G145" s="242">
        <v>3</v>
      </c>
      <c r="H145" s="241">
        <f>WORKDAY.INTL(F145,G145,1,Data!$C$3:$C$57)</f>
        <v>45848</v>
      </c>
      <c r="I145" s="230" t="s">
        <v>525</v>
      </c>
      <c r="J145" s="632">
        <v>0</v>
      </c>
      <c r="K145" s="672">
        <f>WORKDAY.INTL(K144,J145,1,Data!$C$3:$C$57)</f>
        <v>46156</v>
      </c>
      <c r="L145" s="673">
        <v>3</v>
      </c>
      <c r="M145" s="672">
        <f>WORKDAY.INTL(K145,L145,1,Data!$C$3:$C$57)</f>
        <v>46161</v>
      </c>
      <c r="N145" s="121"/>
      <c r="P145" s="244">
        <v>0</v>
      </c>
      <c r="Q145" s="244">
        <f t="shared" ca="1" si="14"/>
        <v>0</v>
      </c>
      <c r="R145" s="771">
        <f>WORKDAY.INTL(R142,R144,1,Data!$C$3:$C$57)</f>
        <v>46181</v>
      </c>
      <c r="T145" s="123"/>
      <c r="U145" s="120"/>
      <c r="V145" s="120"/>
      <c r="W145" s="120"/>
      <c r="X145" s="120"/>
    </row>
    <row r="146" spans="2:24" s="111" customFormat="1" ht="14.25" customHeight="1">
      <c r="B146" s="239"/>
      <c r="C146" s="596" t="s">
        <v>651</v>
      </c>
      <c r="D146" s="207"/>
      <c r="E146" s="207">
        <v>1</v>
      </c>
      <c r="F146" s="592">
        <f>WORKDAY.INTL(H145,E146,1,Data!$C$3:$C$57)</f>
        <v>45849</v>
      </c>
      <c r="G146" s="242">
        <v>7</v>
      </c>
      <c r="H146" s="241">
        <f>WORKDAY.INTL(F146,G146,1,Data!$C$3:$C$57)</f>
        <v>45860</v>
      </c>
      <c r="I146" s="230" t="s">
        <v>525</v>
      </c>
      <c r="J146" s="632">
        <v>1</v>
      </c>
      <c r="K146" s="672">
        <f>WORKDAY.INTL(M145,J146,1,Data!$C$3:$C$57)</f>
        <v>46162</v>
      </c>
      <c r="L146" s="673">
        <v>10</v>
      </c>
      <c r="M146" s="672">
        <f>WORKDAY.INTL(K146,L146,1,Data!$C$3:$C$57)</f>
        <v>46176</v>
      </c>
      <c r="N146" s="121"/>
      <c r="P146" s="244">
        <v>0</v>
      </c>
      <c r="Q146" s="244">
        <f t="shared" ca="1" si="14"/>
        <v>0</v>
      </c>
      <c r="R146" s="771"/>
      <c r="T146" s="123"/>
      <c r="U146" s="120"/>
      <c r="V146" s="120"/>
      <c r="W146" s="120"/>
      <c r="X146" s="120"/>
    </row>
    <row r="147" spans="2:24" s="111" customFormat="1" ht="14.25" customHeight="1">
      <c r="B147" s="239"/>
      <c r="C147" s="596" t="s">
        <v>652</v>
      </c>
      <c r="D147" s="207"/>
      <c r="E147" s="207">
        <v>0</v>
      </c>
      <c r="F147" s="592">
        <f>WORKDAY.INTL(H143,E147,1,Data!$C$3:$C$57)</f>
        <v>45852</v>
      </c>
      <c r="G147" s="242">
        <v>2</v>
      </c>
      <c r="H147" s="241">
        <f>WORKDAY.INTL(F147,G147,1,Data!$C$3:$C$57)</f>
        <v>45854</v>
      </c>
      <c r="I147" s="230" t="s">
        <v>525</v>
      </c>
      <c r="J147" s="632">
        <v>0</v>
      </c>
      <c r="K147" s="672">
        <f>WORKDAY.INTL(M143,J147,1,Data!$C$3:$C$57)</f>
        <v>46163</v>
      </c>
      <c r="L147" s="673">
        <v>5</v>
      </c>
      <c r="M147" s="672">
        <f>WORKDAY.INTL(K147,L147,1,Data!$C$3:$C$57)</f>
        <v>46170</v>
      </c>
      <c r="N147" s="121"/>
      <c r="P147" s="244">
        <v>0</v>
      </c>
      <c r="Q147" s="244">
        <f t="shared" ca="1" si="14"/>
        <v>0</v>
      </c>
      <c r="R147" s="771"/>
      <c r="T147" s="123"/>
      <c r="U147" s="120"/>
      <c r="V147" s="120"/>
      <c r="W147" s="120"/>
      <c r="X147" s="120"/>
    </row>
    <row r="148" spans="2:24" s="111" customFormat="1" ht="14.25" customHeight="1">
      <c r="B148" s="239"/>
      <c r="C148" s="596" t="s">
        <v>653</v>
      </c>
      <c r="D148" s="207"/>
      <c r="E148" s="207">
        <v>0</v>
      </c>
      <c r="F148" s="592">
        <f>WORKDAY.INTL(F147,E148,1,Data!$C$3:$C$57)</f>
        <v>45852</v>
      </c>
      <c r="G148" s="242">
        <v>3</v>
      </c>
      <c r="H148" s="241">
        <f>WORKDAY.INTL(F148,G148,1,Data!$C$3:$C$57)</f>
        <v>45855</v>
      </c>
      <c r="I148" s="230" t="s">
        <v>525</v>
      </c>
      <c r="J148" s="632">
        <v>0</v>
      </c>
      <c r="K148" s="672">
        <f>WORKDAY.INTL(K147,J148,1,Data!$C$3:$C$57)</f>
        <v>46163</v>
      </c>
      <c r="L148" s="673">
        <v>3</v>
      </c>
      <c r="M148" s="672">
        <f>WORKDAY.INTL(K148,L148,1,Data!$C$3:$C$57)</f>
        <v>46168</v>
      </c>
      <c r="N148" s="121"/>
      <c r="P148" s="244">
        <v>0</v>
      </c>
      <c r="Q148" s="244">
        <f t="shared" ca="1" si="14"/>
        <v>0</v>
      </c>
      <c r="R148" s="121"/>
      <c r="T148" s="123"/>
      <c r="U148" s="120"/>
      <c r="V148" s="120"/>
      <c r="W148" s="120"/>
      <c r="X148" s="120"/>
    </row>
    <row r="149" spans="2:24" s="111" customFormat="1" ht="14.25" customHeight="1">
      <c r="B149" s="239"/>
      <c r="C149" s="596" t="s">
        <v>654</v>
      </c>
      <c r="D149" s="207"/>
      <c r="E149" s="207">
        <v>0</v>
      </c>
      <c r="F149" s="592">
        <f>WORKDAY.INTL(H148,E149,1,Data!$C$3:$C$57)</f>
        <v>45855</v>
      </c>
      <c r="G149" s="242">
        <v>7</v>
      </c>
      <c r="H149" s="241">
        <f>WORKDAY.INTL(F149,G149,1,Data!$C$3:$C$57)</f>
        <v>45866</v>
      </c>
      <c r="I149" s="230" t="s">
        <v>525</v>
      </c>
      <c r="J149" s="632">
        <v>0</v>
      </c>
      <c r="K149" s="672">
        <f>WORKDAY.INTL(M148,J149,1,Data!$C$3:$C$57)</f>
        <v>46168</v>
      </c>
      <c r="L149" s="673">
        <v>9</v>
      </c>
      <c r="M149" s="672">
        <f>WORKDAY.INTL(K149,L149,1,Data!$C$3:$C$57)</f>
        <v>46181</v>
      </c>
      <c r="N149" s="121"/>
      <c r="P149" s="244">
        <v>0</v>
      </c>
      <c r="Q149" s="244">
        <f t="shared" ca="1" si="14"/>
        <v>0</v>
      </c>
      <c r="R149" s="121"/>
      <c r="T149" s="123"/>
      <c r="U149" s="120"/>
      <c r="V149" s="120"/>
      <c r="W149" s="120"/>
      <c r="X149" s="120"/>
    </row>
    <row r="150" spans="2:24" s="111" customFormat="1" ht="14.25" customHeight="1" thickBot="1">
      <c r="B150" s="239"/>
      <c r="C150" s="597" t="s">
        <v>655</v>
      </c>
      <c r="D150" s="207"/>
      <c r="E150" s="207">
        <v>0</v>
      </c>
      <c r="F150" s="592">
        <f>WORKDAY.INTL(H149,E150,1,Data!$C$3:$C$57)</f>
        <v>45866</v>
      </c>
      <c r="G150" s="242">
        <v>2</v>
      </c>
      <c r="H150" s="241">
        <f>WORKDAY.INTL(F150,G150,1,Data!$C$3:$C$57)</f>
        <v>45868</v>
      </c>
      <c r="I150" s="230" t="s">
        <v>525</v>
      </c>
      <c r="J150" s="632">
        <v>0</v>
      </c>
      <c r="K150" s="672">
        <f>WORKDAY.INTL(M149,J150,1,Data!$C$3:$C$57)</f>
        <v>46181</v>
      </c>
      <c r="L150" s="673">
        <v>2</v>
      </c>
      <c r="M150" s="672">
        <f>WORKDAY.INTL(K150,L150,1,Data!$C$3:$C$57)</f>
        <v>46183</v>
      </c>
      <c r="N150" s="121"/>
      <c r="P150" s="244">
        <v>0</v>
      </c>
      <c r="Q150" s="244">
        <f t="shared" ca="1" si="14"/>
        <v>0</v>
      </c>
      <c r="R150" s="121"/>
      <c r="T150" s="123"/>
      <c r="U150" s="120"/>
      <c r="V150" s="120"/>
      <c r="W150" s="120"/>
      <c r="X150" s="120"/>
    </row>
    <row r="151" spans="2:24" s="111" customFormat="1" ht="14.25" customHeight="1" thickTop="1">
      <c r="B151" s="239"/>
      <c r="C151" s="601" t="s">
        <v>656</v>
      </c>
      <c r="D151" s="207"/>
      <c r="E151" s="207">
        <v>0</v>
      </c>
      <c r="F151" s="592">
        <f>WORKDAY.INTL(H141,0,1,Data!$C$3:$C$57)</f>
        <v>45833</v>
      </c>
      <c r="G151" s="242">
        <v>6</v>
      </c>
      <c r="H151" s="241">
        <f>WORKDAY.INTL(F151,G151,1,Data!$C$3:$C$57)</f>
        <v>45841</v>
      </c>
      <c r="I151" s="230" t="s">
        <v>525</v>
      </c>
      <c r="J151" s="632">
        <v>0</v>
      </c>
      <c r="K151" s="672">
        <f>R152</f>
        <v>46183</v>
      </c>
      <c r="L151" s="673">
        <v>3</v>
      </c>
      <c r="M151" s="672">
        <f>WORKDAY.INTL(K151,L151,1,Data!$C$3:$C$57)</f>
        <v>46188</v>
      </c>
      <c r="N151" s="121"/>
      <c r="P151" s="244">
        <v>0</v>
      </c>
      <c r="Q151" s="244">
        <f t="shared" ca="1" si="14"/>
        <v>0</v>
      </c>
      <c r="R151" s="121">
        <v>3000</v>
      </c>
      <c r="T151" s="123"/>
      <c r="U151" s="120"/>
      <c r="V151" s="120"/>
      <c r="W151" s="120"/>
      <c r="X151" s="120"/>
    </row>
    <row r="152" spans="2:24" s="111" customFormat="1" ht="14.25" customHeight="1">
      <c r="B152" s="239"/>
      <c r="C152" s="602" t="s">
        <v>657</v>
      </c>
      <c r="D152" s="207"/>
      <c r="E152" s="207">
        <v>0</v>
      </c>
      <c r="F152" s="592">
        <f>WORKDAY.INTL(H143,E152,1,Data!$C$3:$C$57)</f>
        <v>45852</v>
      </c>
      <c r="G152" s="242">
        <v>6</v>
      </c>
      <c r="H152" s="241">
        <f>WORKDAY.INTL(F152,G152,1,Data!$C$3:$C$57)</f>
        <v>45860</v>
      </c>
      <c r="I152" s="230" t="s">
        <v>525</v>
      </c>
      <c r="J152" s="632">
        <v>0</v>
      </c>
      <c r="K152" s="672">
        <f>WORKDAY.INTL(M151,J152,1,Data!$C$3:$C$57)</f>
        <v>46188</v>
      </c>
      <c r="L152" s="673">
        <v>6</v>
      </c>
      <c r="M152" s="672">
        <f>WORKDAY.INTL(K152,L152,1,Data!$C$3:$C$57)</f>
        <v>46197</v>
      </c>
      <c r="N152" s="121"/>
      <c r="P152" s="244">
        <v>0</v>
      </c>
      <c r="Q152" s="244">
        <f t="shared" ca="1" si="14"/>
        <v>0</v>
      </c>
      <c r="R152" s="771">
        <f>R145+2</f>
        <v>46183</v>
      </c>
      <c r="T152" s="123"/>
      <c r="U152" s="120"/>
      <c r="V152" s="120"/>
      <c r="W152" s="120"/>
      <c r="X152" s="120"/>
    </row>
    <row r="153" spans="2:24" s="111" customFormat="1" ht="14.25" customHeight="1">
      <c r="B153" s="239"/>
      <c r="C153" s="602" t="s">
        <v>658</v>
      </c>
      <c r="D153" s="207"/>
      <c r="E153" s="207">
        <v>0</v>
      </c>
      <c r="F153" s="592">
        <f>WORKDAY.INTL(H143,E153,1,Data!$C$3:$C$57)</f>
        <v>45852</v>
      </c>
      <c r="G153" s="242">
        <v>10</v>
      </c>
      <c r="H153" s="241">
        <f>WORKDAY.INTL(F153,G153,1,Data!$C$3:$C$57)</f>
        <v>45866</v>
      </c>
      <c r="I153" s="230" t="s">
        <v>525</v>
      </c>
      <c r="J153" s="632">
        <v>0</v>
      </c>
      <c r="K153" s="672">
        <f>WORKDAY.INTL(M152,J153,1,Data!$C$3:$C$57)</f>
        <v>46197</v>
      </c>
      <c r="L153" s="673">
        <v>6</v>
      </c>
      <c r="M153" s="672">
        <f>WORKDAY.INTL(K153,L153,1,Data!$C$3:$C$57)</f>
        <v>46205</v>
      </c>
      <c r="N153" s="121"/>
      <c r="P153" s="244">
        <v>0</v>
      </c>
      <c r="Q153" s="244">
        <f t="shared" ca="1" si="14"/>
        <v>0</v>
      </c>
      <c r="R153" s="121">
        <f>R151/600</f>
        <v>5</v>
      </c>
      <c r="T153" s="123"/>
      <c r="U153" s="120"/>
      <c r="V153" s="120"/>
      <c r="W153" s="120"/>
      <c r="X153" s="120"/>
    </row>
    <row r="154" spans="2:24" s="111" customFormat="1" ht="14.25" customHeight="1">
      <c r="B154" s="239"/>
      <c r="C154" s="602" t="s">
        <v>659</v>
      </c>
      <c r="D154" s="207"/>
      <c r="E154" s="207">
        <v>-2</v>
      </c>
      <c r="F154" s="592">
        <f>WORKDAY.INTL(H153,E154,1,Data!$C$3:$C$57)</f>
        <v>45862</v>
      </c>
      <c r="G154" s="242">
        <v>2</v>
      </c>
      <c r="H154" s="241">
        <f>WORKDAY.INTL(F154,G154,1,Data!$C$3:$C$57)</f>
        <v>45866</v>
      </c>
      <c r="I154" s="230" t="s">
        <v>525</v>
      </c>
      <c r="J154" s="632">
        <v>-2</v>
      </c>
      <c r="K154" s="672">
        <f>WORKDAY.INTL(M153,J154,1,Data!$C$3:$C$57)</f>
        <v>46203</v>
      </c>
      <c r="L154" s="673">
        <v>1</v>
      </c>
      <c r="M154" s="672">
        <f>WORKDAY.INTL(K154,L154,1,Data!$C$3:$C$57)</f>
        <v>46204</v>
      </c>
      <c r="N154" s="121"/>
      <c r="P154" s="244">
        <v>0</v>
      </c>
      <c r="Q154" s="244">
        <f t="shared" ca="1" si="14"/>
        <v>0</v>
      </c>
      <c r="R154" s="121">
        <f>R153*5</f>
        <v>25</v>
      </c>
      <c r="T154" s="123"/>
      <c r="U154" s="120"/>
      <c r="V154" s="120"/>
      <c r="W154" s="120"/>
      <c r="X154" s="120"/>
    </row>
    <row r="155" spans="2:24" s="111" customFormat="1" ht="14.25" customHeight="1">
      <c r="B155" s="239"/>
      <c r="C155" s="602" t="s">
        <v>660</v>
      </c>
      <c r="D155" s="207"/>
      <c r="E155" s="207">
        <v>0</v>
      </c>
      <c r="F155" s="592">
        <f>WORKDAY.INTL(F154,E155,1,Data!$C$3:$C$57)</f>
        <v>45862</v>
      </c>
      <c r="G155" s="242">
        <v>3</v>
      </c>
      <c r="H155" s="241">
        <f>WORKDAY.INTL(F155,G155,1,Data!$C$3:$C$57)</f>
        <v>45867</v>
      </c>
      <c r="I155" s="230" t="s">
        <v>525</v>
      </c>
      <c r="J155" s="632">
        <v>0</v>
      </c>
      <c r="K155" s="672">
        <f>WORKDAY.INTL(K154,J155,1,Data!$C$3:$C$57)</f>
        <v>46203</v>
      </c>
      <c r="L155" s="673">
        <v>1</v>
      </c>
      <c r="M155" s="672">
        <f>WORKDAY.INTL(K155,L155,1,Data!$C$3:$C$57)</f>
        <v>46204</v>
      </c>
      <c r="N155" s="121"/>
      <c r="P155" s="244">
        <v>0</v>
      </c>
      <c r="Q155" s="244">
        <f t="shared" ca="1" si="14"/>
        <v>0</v>
      </c>
      <c r="R155" s="771">
        <f>WORKDAY.INTL(R152,R154,1,Data!$C$3:$C$57)</f>
        <v>46219</v>
      </c>
      <c r="T155" s="123"/>
      <c r="U155" s="120"/>
      <c r="V155" s="120"/>
      <c r="W155" s="120"/>
      <c r="X155" s="120"/>
    </row>
    <row r="156" spans="2:24" s="111" customFormat="1" ht="14.25" customHeight="1">
      <c r="B156" s="239"/>
      <c r="C156" s="602" t="s">
        <v>661</v>
      </c>
      <c r="D156" s="207"/>
      <c r="E156" s="207">
        <v>2</v>
      </c>
      <c r="F156" s="592">
        <f>WORKDAY.INTL(H155,E156,1,Data!$C$3:$C$57)</f>
        <v>45869</v>
      </c>
      <c r="G156" s="242">
        <v>4</v>
      </c>
      <c r="H156" s="241">
        <f>WORKDAY.INTL(F156,G156,1,Data!$C$3:$C$57)</f>
        <v>45875</v>
      </c>
      <c r="I156" s="230" t="s">
        <v>525</v>
      </c>
      <c r="J156" s="632">
        <v>2</v>
      </c>
      <c r="K156" s="672">
        <f>WORKDAY.INTL(M155,J156,1,Data!$C$3:$C$57)</f>
        <v>46206</v>
      </c>
      <c r="L156" s="673">
        <v>9</v>
      </c>
      <c r="M156" s="672">
        <f>WORKDAY.INTL(K156,L156,1,Data!$C$3:$C$57)</f>
        <v>46219</v>
      </c>
      <c r="N156" s="121"/>
      <c r="P156" s="244">
        <v>0</v>
      </c>
      <c r="Q156" s="244">
        <f t="shared" ca="1" si="14"/>
        <v>0</v>
      </c>
      <c r="R156" s="121"/>
      <c r="T156" s="123"/>
      <c r="U156" s="120"/>
      <c r="V156" s="120"/>
      <c r="W156" s="120"/>
      <c r="X156" s="120"/>
    </row>
    <row r="157" spans="2:24" s="111" customFormat="1" ht="14.25" customHeight="1" thickBot="1">
      <c r="B157" s="239"/>
      <c r="C157" s="603" t="s">
        <v>662</v>
      </c>
      <c r="D157" s="207"/>
      <c r="E157" s="207">
        <v>0</v>
      </c>
      <c r="F157" s="592">
        <f>WORKDAY.INTL(H156,E157,1,Data!$C$3:$C$57)</f>
        <v>45875</v>
      </c>
      <c r="G157" s="242">
        <v>2</v>
      </c>
      <c r="H157" s="241">
        <f>WORKDAY.INTL(F157,G157,1,Data!$C$3:$C$57)</f>
        <v>45877</v>
      </c>
      <c r="I157" s="230" t="s">
        <v>525</v>
      </c>
      <c r="J157" s="632">
        <v>0</v>
      </c>
      <c r="K157" s="672">
        <f>WORKDAY.INTL(M156,J157,1,Data!$C$3:$C$57)</f>
        <v>46219</v>
      </c>
      <c r="L157" s="673">
        <v>1</v>
      </c>
      <c r="M157" s="672">
        <f>WORKDAY.INTL(K157,L157,1,Data!$C$3:$C$57)</f>
        <v>46220</v>
      </c>
      <c r="N157" s="121"/>
      <c r="P157" s="244">
        <v>0</v>
      </c>
      <c r="Q157" s="244">
        <f t="shared" ca="1" si="14"/>
        <v>0</v>
      </c>
      <c r="R157" s="121"/>
      <c r="T157" s="123"/>
      <c r="U157" s="120"/>
      <c r="V157" s="120"/>
      <c r="W157" s="120"/>
      <c r="X157" s="120"/>
    </row>
    <row r="158" spans="2:24" s="111" customFormat="1" ht="14.25" customHeight="1" thickTop="1">
      <c r="B158" s="239"/>
      <c r="C158" s="600" t="s">
        <v>663</v>
      </c>
      <c r="D158" s="207"/>
      <c r="E158" s="207">
        <v>0</v>
      </c>
      <c r="F158" s="592">
        <f>WORKDAY.INTL(H151,0,1,Data!$C$3:$C$57)</f>
        <v>45841</v>
      </c>
      <c r="G158" s="242">
        <v>10</v>
      </c>
      <c r="H158" s="241">
        <f>WORKDAY.INTL(F158,G158,1,Data!$C$3:$C$57)</f>
        <v>45855</v>
      </c>
      <c r="I158" s="230" t="s">
        <v>525</v>
      </c>
      <c r="J158" s="632">
        <v>0</v>
      </c>
      <c r="K158" s="672">
        <f>R159</f>
        <v>46221</v>
      </c>
      <c r="L158" s="673">
        <v>5</v>
      </c>
      <c r="M158" s="672">
        <f>WORKDAY.INTL(K158,L158,1,Data!$C$3:$C$57)</f>
        <v>46227</v>
      </c>
      <c r="N158" s="121"/>
      <c r="P158" s="244">
        <v>0</v>
      </c>
      <c r="Q158" s="244">
        <f t="shared" ca="1" si="14"/>
        <v>0</v>
      </c>
      <c r="R158" s="121">
        <v>3000</v>
      </c>
      <c r="T158" s="123"/>
      <c r="U158" s="120"/>
      <c r="V158" s="120"/>
      <c r="W158" s="120"/>
      <c r="X158" s="120"/>
    </row>
    <row r="159" spans="2:24" s="111" customFormat="1" ht="14.25" customHeight="1">
      <c r="B159" s="239"/>
      <c r="C159" s="598" t="s">
        <v>664</v>
      </c>
      <c r="D159" s="207"/>
      <c r="E159" s="207">
        <v>-2</v>
      </c>
      <c r="F159" s="592">
        <f>WORKDAY.INTL(H153,E159,1,Data!$C$3:$C$57)</f>
        <v>45862</v>
      </c>
      <c r="G159" s="242">
        <v>12</v>
      </c>
      <c r="H159" s="241">
        <f>WORKDAY.INTL(F159,G159,1,Data!$C$3:$C$57)</f>
        <v>45880</v>
      </c>
      <c r="I159" s="230" t="s">
        <v>525</v>
      </c>
      <c r="J159" s="632">
        <v>-2</v>
      </c>
      <c r="K159" s="672">
        <f>WORKDAY.INTL(M158,J159,1,Data!$C$3:$C$57)</f>
        <v>46225</v>
      </c>
      <c r="L159" s="673">
        <v>6</v>
      </c>
      <c r="M159" s="672">
        <f>WORKDAY.INTL(K159,L159,1,Data!$C$3:$C$57)</f>
        <v>46233</v>
      </c>
      <c r="N159" s="121"/>
      <c r="P159" s="244">
        <v>0</v>
      </c>
      <c r="Q159" s="244">
        <f t="shared" ca="1" si="14"/>
        <v>0</v>
      </c>
      <c r="R159" s="771">
        <f>R155+2</f>
        <v>46221</v>
      </c>
      <c r="T159" s="123"/>
      <c r="U159" s="120"/>
      <c r="V159" s="120"/>
      <c r="W159" s="120"/>
      <c r="X159" s="120"/>
    </row>
    <row r="160" spans="2:24" s="111" customFormat="1" ht="14.25" customHeight="1">
      <c r="B160" s="239"/>
      <c r="C160" s="598" t="s">
        <v>665</v>
      </c>
      <c r="D160" s="207"/>
      <c r="E160" s="207">
        <v>4</v>
      </c>
      <c r="F160" s="592">
        <f>WORKDAY.INTL(F159,E160,1,Data!$C$3:$C$57)</f>
        <v>45868</v>
      </c>
      <c r="G160" s="242">
        <v>16</v>
      </c>
      <c r="H160" s="241">
        <f>WORKDAY.INTL(F160,G160,1,Data!$C$3:$C$57)</f>
        <v>45890</v>
      </c>
      <c r="I160" s="230" t="s">
        <v>525</v>
      </c>
      <c r="J160" s="632">
        <v>4</v>
      </c>
      <c r="K160" s="672">
        <f>WORKDAY.INTL(K159,J160,1,Data!$C$3:$C$57)</f>
        <v>46231</v>
      </c>
      <c r="L160" s="673">
        <v>10</v>
      </c>
      <c r="M160" s="672">
        <f>WORKDAY.INTL(K160,L160,1,Data!$C$3:$C$57)</f>
        <v>46246</v>
      </c>
      <c r="N160" s="121"/>
      <c r="P160" s="244">
        <v>0</v>
      </c>
      <c r="Q160" s="244">
        <f t="shared" ca="1" si="14"/>
        <v>0</v>
      </c>
      <c r="R160" s="121">
        <f>R158/600</f>
        <v>5</v>
      </c>
      <c r="T160" s="123"/>
      <c r="U160" s="120"/>
      <c r="V160" s="120"/>
      <c r="W160" s="120"/>
      <c r="X160" s="120"/>
    </row>
    <row r="161" spans="2:24" s="111" customFormat="1" ht="14.25" customHeight="1">
      <c r="B161" s="239"/>
      <c r="C161" s="598" t="s">
        <v>666</v>
      </c>
      <c r="D161" s="207"/>
      <c r="E161" s="207">
        <v>-5</v>
      </c>
      <c r="F161" s="592">
        <f>WORKDAY.INTL(H160,E161,1,Data!$C$3:$C$57)</f>
        <v>45883</v>
      </c>
      <c r="G161" s="242">
        <v>2</v>
      </c>
      <c r="H161" s="241">
        <f>WORKDAY.INTL(F161,G161,1,Data!$C$3:$C$57)</f>
        <v>45887</v>
      </c>
      <c r="I161" s="230" t="s">
        <v>525</v>
      </c>
      <c r="J161" s="632">
        <v>-5</v>
      </c>
      <c r="K161" s="672">
        <f>WORKDAY.INTL(M160,J161,1,Data!$C$3:$C$57)</f>
        <v>46238</v>
      </c>
      <c r="L161" s="673">
        <v>2</v>
      </c>
      <c r="M161" s="672">
        <f>WORKDAY.INTL(K161,L161,1,Data!$C$3:$C$57)</f>
        <v>46240</v>
      </c>
      <c r="N161" s="121"/>
      <c r="P161" s="244">
        <v>0</v>
      </c>
      <c r="Q161" s="244">
        <f t="shared" ca="1" si="14"/>
        <v>0</v>
      </c>
      <c r="R161" s="121">
        <f>R160*5</f>
        <v>25</v>
      </c>
      <c r="T161" s="123"/>
      <c r="U161" s="120"/>
      <c r="V161" s="120"/>
      <c r="W161" s="120"/>
      <c r="X161" s="120"/>
    </row>
    <row r="162" spans="2:24" s="111" customFormat="1" ht="14.25" customHeight="1">
      <c r="B162" s="239"/>
      <c r="C162" s="598" t="s">
        <v>667</v>
      </c>
      <c r="D162" s="207"/>
      <c r="E162" s="207">
        <v>0</v>
      </c>
      <c r="F162" s="592">
        <f>WORKDAY.INTL(F161,E162,1,Data!$C$3:$C$57)</f>
        <v>45883</v>
      </c>
      <c r="G162" s="242">
        <v>3</v>
      </c>
      <c r="H162" s="241">
        <f>WORKDAY.INTL(F162,G162,1,Data!$C$3:$C$57)</f>
        <v>45888</v>
      </c>
      <c r="I162" s="230" t="s">
        <v>525</v>
      </c>
      <c r="J162" s="632">
        <v>0</v>
      </c>
      <c r="K162" s="672">
        <f>WORKDAY.INTL(K161,J162,1,Data!$C$3:$C$57)</f>
        <v>46238</v>
      </c>
      <c r="L162" s="673">
        <v>3</v>
      </c>
      <c r="M162" s="672">
        <f>WORKDAY.INTL(K162,L162,1,Data!$C$3:$C$57)</f>
        <v>46241</v>
      </c>
      <c r="N162" s="121"/>
      <c r="P162" s="244">
        <v>0</v>
      </c>
      <c r="Q162" s="244">
        <f t="shared" ca="1" si="14"/>
        <v>0</v>
      </c>
      <c r="R162" s="771">
        <f>WORKDAY.INTL(R159,R161,1,Data!$C$3:$C$57)</f>
        <v>46258</v>
      </c>
      <c r="T162" s="123"/>
      <c r="U162" s="120"/>
      <c r="V162" s="120"/>
      <c r="W162" s="120"/>
      <c r="X162" s="120"/>
    </row>
    <row r="163" spans="2:24" s="111" customFormat="1" ht="14.25" customHeight="1">
      <c r="B163" s="239"/>
      <c r="C163" s="598" t="s">
        <v>668</v>
      </c>
      <c r="D163" s="207"/>
      <c r="E163" s="207">
        <v>1</v>
      </c>
      <c r="F163" s="592">
        <f>WORKDAY.INTL(H162,E163,1,Data!$C$3:$C$57)</f>
        <v>45889</v>
      </c>
      <c r="G163" s="242">
        <v>7</v>
      </c>
      <c r="H163" s="241">
        <f>WORKDAY.INTL(F163,G163,1,Data!$C$3:$C$57)</f>
        <v>45898</v>
      </c>
      <c r="I163" s="230" t="s">
        <v>525</v>
      </c>
      <c r="J163" s="632">
        <v>1</v>
      </c>
      <c r="K163" s="672">
        <f>WORKDAY.INTL(M162,J163,1,Data!$C$3:$C$57)</f>
        <v>46245</v>
      </c>
      <c r="L163" s="673">
        <v>6</v>
      </c>
      <c r="M163" s="672">
        <f>WORKDAY.INTL(K163,L163,1,Data!$C$3:$C$57)</f>
        <v>46253</v>
      </c>
      <c r="N163" s="121"/>
      <c r="P163" s="244">
        <v>0</v>
      </c>
      <c r="Q163" s="244">
        <f t="shared" ca="1" si="14"/>
        <v>0</v>
      </c>
      <c r="R163" s="121"/>
      <c r="T163" s="123"/>
      <c r="U163" s="120"/>
      <c r="V163" s="120"/>
      <c r="W163" s="120"/>
      <c r="X163" s="120"/>
    </row>
    <row r="164" spans="2:24" s="111" customFormat="1" ht="14.25" customHeight="1">
      <c r="B164" s="239"/>
      <c r="C164" s="598" t="s">
        <v>669</v>
      </c>
      <c r="D164" s="207"/>
      <c r="E164" s="207">
        <v>0</v>
      </c>
      <c r="F164" s="592">
        <f>WORKDAY.INTL(H160,E164,1,Data!$C$3:$C$57)</f>
        <v>45890</v>
      </c>
      <c r="G164" s="242">
        <v>2</v>
      </c>
      <c r="H164" s="241">
        <f>WORKDAY.INTL(F164,G164,1,Data!$C$3:$C$57)</f>
        <v>45894</v>
      </c>
      <c r="I164" s="230" t="s">
        <v>525</v>
      </c>
      <c r="J164" s="632">
        <v>0</v>
      </c>
      <c r="K164" s="672">
        <f>WORKDAY.INTL(M160,J164,1,Data!$C$3:$C$57)</f>
        <v>46246</v>
      </c>
      <c r="L164" s="673">
        <v>1</v>
      </c>
      <c r="M164" s="672">
        <f>WORKDAY.INTL(K164,L164,1,Data!$C$3:$C$57)</f>
        <v>46247</v>
      </c>
      <c r="N164" s="121"/>
      <c r="P164" s="244">
        <v>0</v>
      </c>
      <c r="Q164" s="244">
        <f t="shared" ca="1" si="14"/>
        <v>0</v>
      </c>
      <c r="R164" s="121"/>
      <c r="T164" s="123"/>
      <c r="U164" s="120"/>
      <c r="V164" s="120"/>
      <c r="W164" s="120"/>
      <c r="X164" s="120"/>
    </row>
    <row r="165" spans="2:24" s="111" customFormat="1" ht="14.25" customHeight="1">
      <c r="B165" s="239"/>
      <c r="C165" s="598" t="s">
        <v>670</v>
      </c>
      <c r="D165" s="207"/>
      <c r="E165" s="207">
        <v>0</v>
      </c>
      <c r="F165" s="592">
        <f>WORKDAY.INTL(F164,E165,1,Data!$C$3:$C$57)</f>
        <v>45890</v>
      </c>
      <c r="G165" s="242">
        <v>3</v>
      </c>
      <c r="H165" s="241">
        <f>WORKDAY.INTL(F165,G165,1,Data!$C$3:$C$57)</f>
        <v>45895</v>
      </c>
      <c r="I165" s="230" t="s">
        <v>525</v>
      </c>
      <c r="J165" s="632">
        <v>0</v>
      </c>
      <c r="K165" s="672">
        <f>WORKDAY.INTL(K164,J165,1,Data!$C$3:$C$57)</f>
        <v>46246</v>
      </c>
      <c r="L165" s="673">
        <v>1</v>
      </c>
      <c r="M165" s="672">
        <f>WORKDAY.INTL(K165,L165,1,Data!$C$3:$C$57)</f>
        <v>46247</v>
      </c>
      <c r="N165" s="121"/>
      <c r="P165" s="244">
        <v>0</v>
      </c>
      <c r="Q165" s="244">
        <f t="shared" ca="1" si="14"/>
        <v>0</v>
      </c>
      <c r="R165" s="121"/>
      <c r="T165" s="123"/>
      <c r="U165" s="120"/>
      <c r="V165" s="120"/>
      <c r="W165" s="120"/>
      <c r="X165" s="120"/>
    </row>
    <row r="166" spans="2:24" s="111" customFormat="1" ht="14.25" customHeight="1">
      <c r="B166" s="239"/>
      <c r="C166" s="598" t="s">
        <v>671</v>
      </c>
      <c r="D166" s="207"/>
      <c r="E166" s="207">
        <v>0</v>
      </c>
      <c r="F166" s="592">
        <f>WORKDAY.INTL(H165,E166,1,Data!$C$3:$C$57)</f>
        <v>45895</v>
      </c>
      <c r="G166" s="242">
        <v>7</v>
      </c>
      <c r="H166" s="241">
        <f>WORKDAY.INTL(F166,G166,1,Data!$C$3:$C$57)</f>
        <v>45904</v>
      </c>
      <c r="I166" s="230" t="s">
        <v>525</v>
      </c>
      <c r="J166" s="632">
        <v>0</v>
      </c>
      <c r="K166" s="672">
        <f>WORKDAY.INTL(M165,J166,1,Data!$C$3:$C$57)</f>
        <v>46247</v>
      </c>
      <c r="L166" s="673">
        <v>8</v>
      </c>
      <c r="M166" s="672">
        <f>WORKDAY.INTL(K166,L166,1,Data!$C$3:$C$57)</f>
        <v>46259</v>
      </c>
      <c r="N166" s="121"/>
      <c r="P166" s="244">
        <v>0</v>
      </c>
      <c r="Q166" s="244">
        <f t="shared" ca="1" si="14"/>
        <v>0</v>
      </c>
      <c r="R166" s="121"/>
      <c r="T166" s="123"/>
      <c r="U166" s="120"/>
      <c r="V166" s="120"/>
      <c r="W166" s="120"/>
      <c r="X166" s="120"/>
    </row>
    <row r="167" spans="2:24" s="111" customFormat="1" ht="14.25" customHeight="1" thickBot="1">
      <c r="B167" s="239"/>
      <c r="C167" s="599" t="s">
        <v>672</v>
      </c>
      <c r="D167" s="207"/>
      <c r="E167" s="207">
        <v>0</v>
      </c>
      <c r="F167" s="592">
        <f>WORKDAY.INTL(H166,E167,1,Data!$C$3:$C$57)</f>
        <v>45904</v>
      </c>
      <c r="G167" s="242">
        <v>2</v>
      </c>
      <c r="H167" s="241">
        <f>WORKDAY.INTL(F167,G167,1,Data!$C$3:$C$57)</f>
        <v>45908</v>
      </c>
      <c r="I167" s="230" t="s">
        <v>525</v>
      </c>
      <c r="J167" s="632">
        <v>0</v>
      </c>
      <c r="K167" s="672">
        <f>WORKDAY.INTL(M166,J167,1,Data!$C$3:$C$57)</f>
        <v>46259</v>
      </c>
      <c r="L167" s="673">
        <v>3</v>
      </c>
      <c r="M167" s="672">
        <f>WORKDAY.INTL(K167,L167,1,Data!$C$3:$C$57)</f>
        <v>46262</v>
      </c>
      <c r="N167" s="121"/>
      <c r="P167" s="244">
        <v>0</v>
      </c>
      <c r="Q167" s="244">
        <f t="shared" ca="1" si="14"/>
        <v>0</v>
      </c>
      <c r="R167" s="121"/>
      <c r="T167" s="123"/>
      <c r="U167" s="120"/>
      <c r="V167" s="120"/>
      <c r="W167" s="120"/>
      <c r="X167" s="120"/>
    </row>
    <row r="168" spans="2:24" s="111" customFormat="1" ht="14.25" customHeight="1" thickTop="1">
      <c r="B168" s="239"/>
      <c r="C168" s="240" t="s">
        <v>673</v>
      </c>
      <c r="D168" s="207"/>
      <c r="E168" s="207">
        <v>-3</v>
      </c>
      <c r="F168" s="592">
        <f>WORKDAY.INTL(F150,E168,1,Data!$C$3:$C$57)</f>
        <v>45861</v>
      </c>
      <c r="G168" s="242">
        <v>13</v>
      </c>
      <c r="H168" s="241">
        <f>WORKDAY.INTL(F168,G168,1,Data!$C$3:$C$57)</f>
        <v>45880</v>
      </c>
      <c r="I168" s="230" t="s">
        <v>525</v>
      </c>
      <c r="J168" s="632">
        <v>-3</v>
      </c>
      <c r="K168" s="672">
        <f>WORKDAY.INTL(K150,J168,1,Data!$C$3:$C$57)</f>
        <v>46176</v>
      </c>
      <c r="L168" s="673">
        <v>10</v>
      </c>
      <c r="M168" s="672">
        <f>WORKDAY.INTL(K168,L168,1,Data!$C$3:$C$57)</f>
        <v>46191</v>
      </c>
      <c r="N168" s="121"/>
      <c r="P168" s="244">
        <v>0</v>
      </c>
      <c r="Q168" s="244">
        <f t="shared" ca="1" si="14"/>
        <v>0</v>
      </c>
      <c r="R168" s="121"/>
      <c r="T168" s="123"/>
      <c r="U168" s="120"/>
      <c r="V168" s="120"/>
      <c r="W168" s="120"/>
      <c r="X168" s="120"/>
    </row>
    <row r="169" spans="2:24" s="111" customFormat="1" ht="14.25" customHeight="1">
      <c r="B169" s="239"/>
      <c r="C169" s="240" t="s">
        <v>674</v>
      </c>
      <c r="D169" s="207"/>
      <c r="E169" s="207">
        <v>-2</v>
      </c>
      <c r="F169" s="592">
        <f>WORKDAY.INTL(F157,E169,1,Data!$C$3:$C$57)</f>
        <v>45873</v>
      </c>
      <c r="G169" s="242">
        <v>9</v>
      </c>
      <c r="H169" s="241">
        <f>WORKDAY.INTL(F169,G169,1,Data!$C$3:$C$57)</f>
        <v>45884</v>
      </c>
      <c r="I169" s="230" t="s">
        <v>525</v>
      </c>
      <c r="J169" s="632">
        <v>-2</v>
      </c>
      <c r="K169" s="672">
        <f>WORKDAY.INTL(K157,J169,1,Data!$C$3:$C$57)</f>
        <v>46217</v>
      </c>
      <c r="L169" s="673">
        <v>10</v>
      </c>
      <c r="M169" s="672">
        <f>WORKDAY.INTL(K169,L169,1,Data!$C$3:$C$57)</f>
        <v>46231</v>
      </c>
      <c r="N169" s="121"/>
      <c r="P169" s="244">
        <v>0</v>
      </c>
      <c r="Q169" s="244">
        <f t="shared" ca="1" si="14"/>
        <v>0</v>
      </c>
      <c r="R169" s="121"/>
      <c r="T169" s="123"/>
      <c r="U169" s="120"/>
      <c r="V169" s="120"/>
      <c r="W169" s="120"/>
      <c r="X169" s="120"/>
    </row>
    <row r="170" spans="2:24" s="111" customFormat="1" ht="14.25" customHeight="1">
      <c r="B170" s="239"/>
      <c r="C170" s="240" t="s">
        <v>675</v>
      </c>
      <c r="D170" s="207"/>
      <c r="E170" s="207">
        <v>-3</v>
      </c>
      <c r="F170" s="592">
        <f>WORKDAY.INTL(F167,E170,1,Data!$C$3:$C$57)</f>
        <v>45901</v>
      </c>
      <c r="G170" s="242">
        <v>9</v>
      </c>
      <c r="H170" s="241">
        <f>WORKDAY.INTL(F170,G170,1,Data!$C$3:$C$57)</f>
        <v>45912</v>
      </c>
      <c r="I170" s="230" t="s">
        <v>525</v>
      </c>
      <c r="J170" s="632">
        <v>-3</v>
      </c>
      <c r="K170" s="672">
        <f>WORKDAY.INTL(K167,J170,1,Data!$C$3:$C$57)</f>
        <v>46254</v>
      </c>
      <c r="L170" s="673">
        <v>10</v>
      </c>
      <c r="M170" s="672">
        <f>WORKDAY.INTL(K170,L170,1,Data!$C$3:$C$57)</f>
        <v>46268</v>
      </c>
      <c r="N170" s="121"/>
      <c r="P170" s="244">
        <v>0</v>
      </c>
      <c r="Q170" s="244">
        <f t="shared" ca="1" si="14"/>
        <v>0</v>
      </c>
      <c r="R170" s="121"/>
      <c r="T170" s="123"/>
      <c r="U170" s="120"/>
      <c r="V170" s="120"/>
      <c r="W170" s="120"/>
      <c r="X170" s="120"/>
    </row>
    <row r="171" spans="2:24" s="111" customFormat="1" ht="14.25" customHeight="1">
      <c r="B171" s="239"/>
      <c r="C171" s="240" t="s">
        <v>676</v>
      </c>
      <c r="D171" s="207"/>
      <c r="E171" s="207">
        <v>0</v>
      </c>
      <c r="F171" s="592">
        <f>WORKDAY.INTL(H169,E171,1,Data!$C$3:$C$57)</f>
        <v>45884</v>
      </c>
      <c r="G171" s="242">
        <v>9</v>
      </c>
      <c r="H171" s="241">
        <f>WORKDAY.INTL(F171,G171,1,Data!$C$3:$C$57)</f>
        <v>45897</v>
      </c>
      <c r="I171" s="230" t="s">
        <v>525</v>
      </c>
      <c r="J171" s="632">
        <v>0</v>
      </c>
      <c r="K171" s="672">
        <f>WORKDAY.INTL(M169,J171,1,Data!$C$3:$C$57)</f>
        <v>46231</v>
      </c>
      <c r="L171" s="673">
        <v>10</v>
      </c>
      <c r="M171" s="672">
        <f>WORKDAY.INTL(K171,L171,1,Data!$C$3:$C$57)</f>
        <v>46246</v>
      </c>
      <c r="N171" s="121"/>
      <c r="P171" s="244">
        <v>0</v>
      </c>
      <c r="Q171" s="244">
        <f t="shared" ca="1" si="14"/>
        <v>0</v>
      </c>
      <c r="R171" s="121"/>
      <c r="T171" s="123"/>
      <c r="U171" s="120"/>
      <c r="V171" s="120"/>
      <c r="W171" s="120"/>
      <c r="X171" s="120"/>
    </row>
    <row r="172" spans="2:24" s="111" customFormat="1" ht="14.25" customHeight="1">
      <c r="B172" s="239"/>
      <c r="C172" s="240" t="s">
        <v>677</v>
      </c>
      <c r="D172" s="207"/>
      <c r="E172" s="207">
        <v>0</v>
      </c>
      <c r="F172" s="592">
        <f>WORKDAY.INTL(H171,E172,1,Data!$C$3:$C$57)</f>
        <v>45897</v>
      </c>
      <c r="G172" s="242">
        <v>9</v>
      </c>
      <c r="H172" s="241">
        <f>WORKDAY.INTL(F172,G172,1,Data!$C$3:$C$57)</f>
        <v>45910</v>
      </c>
      <c r="I172" s="230" t="s">
        <v>525</v>
      </c>
      <c r="J172" s="632">
        <v>0</v>
      </c>
      <c r="K172" s="672">
        <f>WORKDAY.INTL(M171,J172,1,Data!$C$3:$C$57)</f>
        <v>46246</v>
      </c>
      <c r="L172" s="673">
        <v>10</v>
      </c>
      <c r="M172" s="672">
        <f>WORKDAY.INTL(K172,L172,1,Data!$C$3:$C$57)</f>
        <v>46260</v>
      </c>
      <c r="N172" s="121"/>
      <c r="P172" s="244">
        <v>0</v>
      </c>
      <c r="Q172" s="244">
        <f t="shared" ca="1" si="14"/>
        <v>0</v>
      </c>
      <c r="R172" s="121"/>
      <c r="T172" s="123"/>
      <c r="U172" s="120"/>
      <c r="V172" s="120"/>
      <c r="W172" s="120"/>
      <c r="X172" s="120"/>
    </row>
    <row r="173" spans="2:24" s="111" customFormat="1" ht="14.25" customHeight="1">
      <c r="B173" s="239"/>
      <c r="C173" s="240" t="s">
        <v>678</v>
      </c>
      <c r="D173" s="207"/>
      <c r="E173" s="207">
        <v>0</v>
      </c>
      <c r="F173" s="592">
        <f>WORKDAY.INTL(H172,E173,1,Data!$C$3:$C$57)</f>
        <v>45910</v>
      </c>
      <c r="G173" s="242">
        <v>9</v>
      </c>
      <c r="H173" s="241">
        <f>WORKDAY.INTL(F173,G173,1,Data!$C$3:$C$57)</f>
        <v>45923</v>
      </c>
      <c r="I173" s="230" t="s">
        <v>525</v>
      </c>
      <c r="J173" s="632">
        <v>0</v>
      </c>
      <c r="K173" s="672">
        <f>WORKDAY.INTL(M172,J173,1,Data!$C$3:$C$57)</f>
        <v>46260</v>
      </c>
      <c r="L173" s="673">
        <v>10</v>
      </c>
      <c r="M173" s="672">
        <f>WORKDAY.INTL(K173,L173,1,Data!$C$3:$C$57)</f>
        <v>46274</v>
      </c>
      <c r="N173" s="121"/>
      <c r="P173" s="244">
        <v>0</v>
      </c>
      <c r="Q173" s="244">
        <f t="shared" ca="1" si="14"/>
        <v>0</v>
      </c>
      <c r="R173" s="121"/>
      <c r="T173" s="123"/>
      <c r="U173" s="120"/>
      <c r="V173" s="120"/>
      <c r="W173" s="120"/>
      <c r="X173" s="120"/>
    </row>
    <row r="174" spans="2:24" s="111" customFormat="1" ht="14.25" customHeight="1">
      <c r="B174" s="239"/>
      <c r="C174" s="240" t="s">
        <v>679</v>
      </c>
      <c r="D174" s="207"/>
      <c r="E174" s="207">
        <v>-7</v>
      </c>
      <c r="F174" s="592">
        <f>WORKDAY.INTL(H173,E174,1,Data!$C$3:$C$57)</f>
        <v>45912</v>
      </c>
      <c r="G174" s="242">
        <v>10</v>
      </c>
      <c r="H174" s="241">
        <f>WORKDAY.INTL(F174,G174,1,Data!$C$3:$C$57)</f>
        <v>45929</v>
      </c>
      <c r="I174" s="230" t="s">
        <v>525</v>
      </c>
      <c r="J174" s="632">
        <v>-7</v>
      </c>
      <c r="K174" s="672">
        <f>WORKDAY.INTL(M173,J174,1,Data!$C$3:$C$57)</f>
        <v>46265</v>
      </c>
      <c r="L174" s="673">
        <v>10</v>
      </c>
      <c r="M174" s="672">
        <f>WORKDAY.INTL(K174,L174,1,Data!$C$3:$C$57)</f>
        <v>46279</v>
      </c>
      <c r="N174" s="121"/>
      <c r="P174" s="244">
        <v>0</v>
      </c>
      <c r="Q174" s="244">
        <f t="shared" ca="1" si="14"/>
        <v>0</v>
      </c>
      <c r="R174" s="121"/>
      <c r="T174" s="123"/>
      <c r="U174" s="120"/>
      <c r="V174" s="120"/>
      <c r="W174" s="120"/>
      <c r="X174" s="120"/>
    </row>
    <row r="175" spans="2:24" s="111" customFormat="1" ht="14.25" customHeight="1">
      <c r="B175" s="239"/>
      <c r="C175" s="240" t="s">
        <v>680</v>
      </c>
      <c r="D175" s="207"/>
      <c r="E175" s="207"/>
      <c r="F175" s="592">
        <f>WORKDAY.INTL(H174,E175,1,Data!$C$3:$C$57)</f>
        <v>45929</v>
      </c>
      <c r="G175" s="242">
        <v>5</v>
      </c>
      <c r="H175" s="241">
        <f>WORKDAY.INTL(F175,G175,1,Data!$C$3:$C$57)</f>
        <v>45936</v>
      </c>
      <c r="I175" s="230" t="s">
        <v>525</v>
      </c>
      <c r="J175" s="632"/>
      <c r="K175" s="672"/>
      <c r="L175" s="673"/>
      <c r="M175" s="672"/>
      <c r="N175" s="121"/>
      <c r="P175" s="244">
        <v>0</v>
      </c>
      <c r="Q175" s="244">
        <v>0</v>
      </c>
      <c r="R175" s="121"/>
      <c r="T175" s="123"/>
      <c r="U175" s="120"/>
      <c r="V175" s="120"/>
      <c r="W175" s="120"/>
      <c r="X175" s="120"/>
    </row>
    <row r="176" spans="2:24" s="111" customFormat="1" ht="14.25" customHeight="1">
      <c r="B176" s="239"/>
      <c r="C176" s="240" t="s">
        <v>681</v>
      </c>
      <c r="D176" s="207"/>
      <c r="E176" s="207"/>
      <c r="F176" s="592">
        <f>WORKDAY.INTL(H175,E176,1,Data!$C$3:$C$57)</f>
        <v>45936</v>
      </c>
      <c r="G176" s="242">
        <v>10</v>
      </c>
      <c r="H176" s="241">
        <f>WORKDAY.INTL(F176,G176,1,Data!$C$3:$C$57)</f>
        <v>45950</v>
      </c>
      <c r="I176" s="230" t="s">
        <v>525</v>
      </c>
      <c r="J176" s="632"/>
      <c r="K176" s="672"/>
      <c r="L176" s="673"/>
      <c r="M176" s="672"/>
      <c r="N176" s="121"/>
      <c r="P176" s="244">
        <v>0</v>
      </c>
      <c r="Q176" s="244">
        <v>0</v>
      </c>
      <c r="R176" s="121"/>
      <c r="T176" s="123"/>
      <c r="U176" s="120"/>
    </row>
    <row r="177" spans="2:24" s="111" customFormat="1" ht="14.25" customHeight="1">
      <c r="B177" s="239"/>
      <c r="C177" s="240" t="s">
        <v>682</v>
      </c>
      <c r="D177" s="207"/>
      <c r="E177" s="207"/>
      <c r="F177" s="592">
        <f>WORKDAY.INTL(H176,E177,1,Data!$C$3:$C$57)</f>
        <v>45950</v>
      </c>
      <c r="G177" s="242">
        <v>1</v>
      </c>
      <c r="H177" s="241">
        <f>WORKDAY.INTL(F177,G177,1,Data!$C$3:$C$57)</f>
        <v>45951</v>
      </c>
      <c r="I177" s="230" t="s">
        <v>525</v>
      </c>
      <c r="J177" s="632"/>
      <c r="K177" s="672"/>
      <c r="L177" s="673"/>
      <c r="M177" s="672"/>
      <c r="N177" s="121"/>
      <c r="P177" s="244">
        <v>0</v>
      </c>
      <c r="Q177" s="244">
        <v>0</v>
      </c>
      <c r="R177" s="121"/>
      <c r="T177" s="123"/>
      <c r="U177" s="120"/>
      <c r="V177" s="120"/>
      <c r="W177" s="120"/>
      <c r="X177" s="120"/>
    </row>
    <row r="178" spans="2:24" s="111" customFormat="1" ht="14.25" customHeight="1">
      <c r="B178" s="231"/>
      <c r="C178" s="207"/>
      <c r="D178" s="207"/>
      <c r="E178" s="207"/>
      <c r="F178" s="232"/>
      <c r="G178" s="232"/>
      <c r="H178" s="233"/>
      <c r="I178" s="230"/>
      <c r="J178" s="632"/>
      <c r="K178" s="674"/>
      <c r="L178" s="674"/>
      <c r="M178" s="675"/>
      <c r="N178" s="121"/>
      <c r="R178" s="121"/>
      <c r="T178" s="123"/>
      <c r="U178" s="120"/>
      <c r="V178" s="120"/>
      <c r="W178" s="120"/>
      <c r="X178" s="120"/>
    </row>
    <row r="179" spans="2:24" s="111" customFormat="1" ht="14.25" customHeight="1">
      <c r="B179" s="235">
        <v>11</v>
      </c>
      <c r="C179" s="236" t="s">
        <v>683</v>
      </c>
      <c r="D179" s="211"/>
      <c r="E179" s="211"/>
      <c r="F179" s="237">
        <f>MIN(F180:F197)</f>
        <v>45810</v>
      </c>
      <c r="G179" s="238">
        <f>H179-F179</f>
        <v>78</v>
      </c>
      <c r="H179" s="237">
        <f>MAX(H180:H197)</f>
        <v>45888</v>
      </c>
      <c r="I179" s="212" t="s">
        <v>523</v>
      </c>
      <c r="J179" s="631"/>
      <c r="K179" s="670">
        <f>MIN(K180:K197)</f>
        <v>46191</v>
      </c>
      <c r="L179" s="671">
        <f>NETWORKDAYS(K179,M179,Data!$C$3:$C$57)</f>
        <v>41</v>
      </c>
      <c r="M179" s="670">
        <f>MAX(M180:M197)</f>
        <v>46248</v>
      </c>
      <c r="N179" s="121" t="s">
        <v>641</v>
      </c>
      <c r="O179" s="113"/>
      <c r="P179" s="351">
        <f>AVERAGE(P180:P197)</f>
        <v>0</v>
      </c>
      <c r="Q179" s="351">
        <v>0</v>
      </c>
      <c r="R179" s="121"/>
      <c r="T179" s="3"/>
      <c r="U179" s="120"/>
      <c r="V179" s="120"/>
      <c r="W179" s="120"/>
      <c r="X179" s="120"/>
    </row>
    <row r="180" spans="2:24" s="111" customFormat="1" ht="14.25" customHeight="1">
      <c r="B180" s="239"/>
      <c r="C180" s="240" t="s">
        <v>642</v>
      </c>
      <c r="D180" s="207"/>
      <c r="E180" s="207"/>
      <c r="F180" s="241">
        <f>F137</f>
        <v>45810</v>
      </c>
      <c r="G180" s="242">
        <v>2</v>
      </c>
      <c r="H180" s="241">
        <f>WORKDAY.INTL(F180,G180,1,Data!$C$3:$C$57)</f>
        <v>45812</v>
      </c>
      <c r="I180" s="230" t="s">
        <v>525</v>
      </c>
      <c r="J180" s="632">
        <v>0</v>
      </c>
      <c r="K180" s="672">
        <f>M168</f>
        <v>46191</v>
      </c>
      <c r="L180" s="673">
        <v>0</v>
      </c>
      <c r="M180" s="672"/>
      <c r="N180" s="121"/>
      <c r="P180" s="244">
        <v>0</v>
      </c>
      <c r="Q180" s="244">
        <v>0</v>
      </c>
      <c r="R180" s="121"/>
      <c r="T180" s="123"/>
      <c r="U180" s="120"/>
      <c r="V180" s="120"/>
      <c r="W180" s="120"/>
      <c r="X180" s="120"/>
    </row>
    <row r="181" spans="2:24" s="111" customFormat="1" ht="14.25" customHeight="1">
      <c r="B181" s="239"/>
      <c r="C181" s="604" t="s">
        <v>684</v>
      </c>
      <c r="D181" s="207"/>
      <c r="E181" s="207"/>
      <c r="F181" s="241">
        <f>WORKDAY.INTL(H180,E181,1,Data!$C$3:$C$57)</f>
        <v>45812</v>
      </c>
      <c r="G181" s="242">
        <v>1</v>
      </c>
      <c r="H181" s="241">
        <f>WORKDAY.INTL(F181,G181,1,Data!$C$3:$C$57)</f>
        <v>45813</v>
      </c>
      <c r="I181" s="230" t="s">
        <v>525</v>
      </c>
      <c r="J181" s="632"/>
      <c r="K181" s="672"/>
      <c r="L181" s="673">
        <v>0</v>
      </c>
      <c r="M181" s="672"/>
      <c r="N181" s="121"/>
      <c r="P181" s="244">
        <v>0</v>
      </c>
      <c r="Q181" s="244">
        <v>0</v>
      </c>
      <c r="R181" s="121"/>
      <c r="T181" s="123"/>
      <c r="U181" s="120"/>
      <c r="V181" s="120"/>
      <c r="W181" s="120"/>
      <c r="X181" s="120"/>
    </row>
    <row r="182" spans="2:24" s="111" customFormat="1" ht="14.25" customHeight="1">
      <c r="B182" s="239"/>
      <c r="C182" s="605" t="s">
        <v>644</v>
      </c>
      <c r="D182" s="207"/>
      <c r="E182" s="207"/>
      <c r="F182" s="241">
        <f>WORKDAY.INTL(H181,E182,1,Data!$C$3:$C$57)</f>
        <v>45813</v>
      </c>
      <c r="G182" s="242">
        <v>1</v>
      </c>
      <c r="H182" s="241">
        <f>WORKDAY.INTL(F182,G182,1,Data!$C$3:$C$57)</f>
        <v>45814</v>
      </c>
      <c r="I182" s="230" t="s">
        <v>525</v>
      </c>
      <c r="J182" s="632"/>
      <c r="K182" s="672"/>
      <c r="L182" s="673">
        <v>1</v>
      </c>
      <c r="M182" s="672"/>
      <c r="N182" s="121"/>
      <c r="P182" s="244">
        <v>0</v>
      </c>
      <c r="Q182" s="244">
        <v>0</v>
      </c>
      <c r="R182" s="121"/>
      <c r="T182" s="123"/>
      <c r="U182" s="120"/>
      <c r="V182" s="120"/>
      <c r="W182" s="120"/>
      <c r="X182" s="120"/>
    </row>
    <row r="183" spans="2:24" s="111" customFormat="1" ht="14.25" customHeight="1">
      <c r="B183" s="239"/>
      <c r="C183" s="240" t="s">
        <v>685</v>
      </c>
      <c r="D183" s="207"/>
      <c r="E183" s="207">
        <v>1</v>
      </c>
      <c r="F183" s="241">
        <f>WORKDAY.INTL(F182,E183,1,Data!$C$3:$C$57)</f>
        <v>45814</v>
      </c>
      <c r="G183" s="242">
        <v>1</v>
      </c>
      <c r="H183" s="241">
        <f>WORKDAY.INTL(F183,G183,1,Data!$C$3:$C$57)</f>
        <v>45817</v>
      </c>
      <c r="I183" s="230" t="s">
        <v>525</v>
      </c>
      <c r="J183" s="632">
        <v>1</v>
      </c>
      <c r="K183" s="672"/>
      <c r="L183" s="673">
        <v>1</v>
      </c>
      <c r="M183" s="672"/>
      <c r="N183" s="121"/>
      <c r="P183" s="244">
        <v>0</v>
      </c>
      <c r="Q183" s="244">
        <v>0</v>
      </c>
      <c r="R183" s="121"/>
      <c r="T183" s="123"/>
      <c r="U183" s="120"/>
      <c r="V183" s="120"/>
      <c r="W183" s="120"/>
      <c r="X183" s="120"/>
    </row>
    <row r="184" spans="2:24" s="111" customFormat="1" ht="14.25" customHeight="1">
      <c r="B184" s="239"/>
      <c r="C184" s="240" t="s">
        <v>686</v>
      </c>
      <c r="D184" s="207"/>
      <c r="E184" s="207"/>
      <c r="F184" s="241">
        <f>WORKDAY.INTL(H183,E184,1,Data!$C$3:$C$57)</f>
        <v>45817</v>
      </c>
      <c r="G184" s="242">
        <v>4</v>
      </c>
      <c r="H184" s="241">
        <f>WORKDAY.INTL(F184,G184,1,Data!$C$3:$C$57)</f>
        <v>45821</v>
      </c>
      <c r="I184" s="230" t="s">
        <v>525</v>
      </c>
      <c r="J184" s="632">
        <v>0</v>
      </c>
      <c r="K184" s="672"/>
      <c r="L184" s="673">
        <v>4</v>
      </c>
      <c r="M184" s="672"/>
      <c r="N184" s="121"/>
      <c r="P184" s="244">
        <v>0</v>
      </c>
      <c r="Q184" s="244">
        <v>0</v>
      </c>
      <c r="R184" s="121"/>
      <c r="T184" s="123"/>
      <c r="U184" s="120"/>
      <c r="V184" s="120"/>
      <c r="W184" s="120"/>
      <c r="X184" s="120"/>
    </row>
    <row r="185" spans="2:24" s="111" customFormat="1" ht="14.25" customHeight="1">
      <c r="B185" s="239"/>
      <c r="C185" s="240" t="s">
        <v>687</v>
      </c>
      <c r="D185" s="207"/>
      <c r="E185" s="207"/>
      <c r="F185" s="241">
        <f>WORKDAY.INTL(H184,E185,1,Data!$C$3:$C$57)</f>
        <v>45821</v>
      </c>
      <c r="G185" s="242">
        <v>10</v>
      </c>
      <c r="H185" s="241">
        <f>WORKDAY.INTL(F185,G185,1,Data!$C$3:$C$57)</f>
        <v>45838</v>
      </c>
      <c r="I185" s="230" t="s">
        <v>525</v>
      </c>
      <c r="J185" s="632">
        <v>0</v>
      </c>
      <c r="K185" s="672"/>
      <c r="L185" s="673">
        <v>10</v>
      </c>
      <c r="M185" s="672"/>
      <c r="N185" s="121"/>
      <c r="P185" s="244">
        <v>0</v>
      </c>
      <c r="Q185" s="244">
        <v>0</v>
      </c>
      <c r="R185" s="121"/>
      <c r="T185" s="123"/>
      <c r="U185" s="120"/>
      <c r="V185" s="120"/>
      <c r="W185" s="120"/>
      <c r="X185" s="120"/>
    </row>
    <row r="186" spans="2:24" s="111" customFormat="1" ht="14.25" customHeight="1">
      <c r="B186" s="239"/>
      <c r="C186" s="240" t="s">
        <v>688</v>
      </c>
      <c r="D186" s="207"/>
      <c r="E186" s="207">
        <v>-5</v>
      </c>
      <c r="F186" s="241">
        <f>WORKDAY.INTL(H185,E186,1,Data!$C$3:$C$57)</f>
        <v>45831</v>
      </c>
      <c r="G186" s="242">
        <v>5</v>
      </c>
      <c r="H186" s="241">
        <f>WORKDAY.INTL(F186,G186,1,Data!$C$3:$C$57)</f>
        <v>45838</v>
      </c>
      <c r="I186" s="230" t="s">
        <v>525</v>
      </c>
      <c r="J186" s="632">
        <v>0</v>
      </c>
      <c r="K186" s="672"/>
      <c r="L186" s="673">
        <v>5</v>
      </c>
      <c r="M186" s="672"/>
      <c r="N186" s="121"/>
      <c r="P186" s="244">
        <v>0</v>
      </c>
      <c r="Q186" s="244">
        <v>0</v>
      </c>
      <c r="R186" s="121" t="s">
        <v>689</v>
      </c>
      <c r="T186" s="123"/>
      <c r="U186" s="120"/>
      <c r="V186" s="120"/>
      <c r="W186" s="120"/>
      <c r="X186" s="120"/>
    </row>
    <row r="187" spans="2:24" s="111" customFormat="1" ht="14.25" customHeight="1">
      <c r="B187" s="239"/>
      <c r="C187" s="240" t="s">
        <v>690</v>
      </c>
      <c r="D187" s="207"/>
      <c r="E187" s="207">
        <v>-3</v>
      </c>
      <c r="F187" s="241">
        <f>WORKDAY.INTL(H186,E187,1,Data!$C$3:$C$57)</f>
        <v>45833</v>
      </c>
      <c r="G187" s="242">
        <v>7</v>
      </c>
      <c r="H187" s="241">
        <f>WORKDAY.INTL(F187,G187,1,Data!$C$3:$C$57)</f>
        <v>45842</v>
      </c>
      <c r="I187" s="230" t="s">
        <v>525</v>
      </c>
      <c r="J187" s="632">
        <v>-3</v>
      </c>
      <c r="K187" s="672"/>
      <c r="L187" s="673">
        <v>5</v>
      </c>
      <c r="M187" s="672"/>
      <c r="N187" s="121"/>
      <c r="P187" s="244">
        <v>0</v>
      </c>
      <c r="Q187" s="244">
        <v>0</v>
      </c>
      <c r="R187" s="121"/>
      <c r="T187" s="123"/>
      <c r="U187" s="120"/>
      <c r="V187" s="120"/>
      <c r="W187" s="120"/>
      <c r="X187" s="120"/>
    </row>
    <row r="188" spans="2:24" s="111" customFormat="1" ht="14.25" customHeight="1">
      <c r="B188" s="239"/>
      <c r="C188" s="240" t="s">
        <v>691</v>
      </c>
      <c r="D188" s="207"/>
      <c r="E188" s="207">
        <v>-1</v>
      </c>
      <c r="F188" s="241">
        <f>WORKDAY.INTL(H187,E188,1,Data!$C$3:$C$57)</f>
        <v>45841</v>
      </c>
      <c r="G188" s="242">
        <v>4</v>
      </c>
      <c r="H188" s="241">
        <f>WORKDAY.INTL(F188,G188,1,Data!$C$3:$C$57)</f>
        <v>45847</v>
      </c>
      <c r="I188" s="230" t="s">
        <v>525</v>
      </c>
      <c r="J188" s="632">
        <v>-5</v>
      </c>
      <c r="K188" s="672"/>
      <c r="L188" s="673">
        <v>4</v>
      </c>
      <c r="M188" s="672"/>
      <c r="N188" s="121"/>
      <c r="P188" s="244">
        <v>0</v>
      </c>
      <c r="Q188" s="244">
        <v>0</v>
      </c>
      <c r="R188" s="121"/>
      <c r="T188" s="123"/>
      <c r="U188" s="120"/>
      <c r="V188" s="120"/>
      <c r="W188" s="120"/>
      <c r="X188" s="120"/>
    </row>
    <row r="189" spans="2:24" s="111" customFormat="1" ht="14.25" customHeight="1">
      <c r="B189" s="239"/>
      <c r="C189" s="240" t="s">
        <v>692</v>
      </c>
      <c r="D189" s="207"/>
      <c r="E189" s="207">
        <v>-2</v>
      </c>
      <c r="F189" s="241">
        <f>WORKDAY.INTL(H188,E189,1,Data!$C$3:$C$57)</f>
        <v>45845</v>
      </c>
      <c r="G189" s="242">
        <v>1</v>
      </c>
      <c r="H189" s="241">
        <f>WORKDAY.INTL(F189,G189,1,Data!$C$3:$C$57)</f>
        <v>45846</v>
      </c>
      <c r="I189" s="230" t="s">
        <v>525</v>
      </c>
      <c r="J189" s="632"/>
      <c r="K189" s="672"/>
      <c r="L189" s="673">
        <v>0</v>
      </c>
      <c r="M189" s="672"/>
      <c r="N189" s="121"/>
      <c r="P189" s="244">
        <v>0</v>
      </c>
      <c r="Q189" s="244">
        <v>0</v>
      </c>
      <c r="R189" s="121"/>
      <c r="T189" s="123"/>
      <c r="U189" s="120"/>
      <c r="V189" s="120"/>
      <c r="W189" s="120"/>
      <c r="X189" s="120"/>
    </row>
    <row r="190" spans="2:24" s="111" customFormat="1" ht="14.25" customHeight="1">
      <c r="B190" s="239"/>
      <c r="C190" s="240" t="s">
        <v>693</v>
      </c>
      <c r="D190" s="207"/>
      <c r="E190" s="207">
        <v>-1</v>
      </c>
      <c r="F190" s="241">
        <f>WORKDAY.INTL(H188,E190,1,Data!$C$3:$C$57)</f>
        <v>45846</v>
      </c>
      <c r="G190" s="242">
        <v>1</v>
      </c>
      <c r="H190" s="241">
        <f>WORKDAY.INTL(F190,G190,1,Data!$C$3:$C$57)</f>
        <v>45847</v>
      </c>
      <c r="I190" s="230" t="s">
        <v>525</v>
      </c>
      <c r="J190" s="632">
        <v>-1</v>
      </c>
      <c r="K190" s="672"/>
      <c r="L190" s="673">
        <v>1</v>
      </c>
      <c r="M190" s="672"/>
      <c r="N190" s="121"/>
      <c r="P190" s="244">
        <v>0</v>
      </c>
      <c r="Q190" s="244">
        <v>0</v>
      </c>
      <c r="R190" s="121"/>
      <c r="T190" s="123"/>
      <c r="U190" s="120"/>
      <c r="V190" s="120"/>
      <c r="W190" s="120"/>
      <c r="X190" s="120"/>
    </row>
    <row r="191" spans="2:24" s="111" customFormat="1" ht="14.25" customHeight="1">
      <c r="B191" s="239"/>
      <c r="C191" s="240" t="s">
        <v>694</v>
      </c>
      <c r="D191" s="207"/>
      <c r="E191" s="207"/>
      <c r="F191" s="241">
        <f>WORKDAY.INTL(H188,E191,1,Data!$C$3:$C$57)</f>
        <v>45847</v>
      </c>
      <c r="G191" s="242">
        <v>6</v>
      </c>
      <c r="H191" s="241">
        <f>WORKDAY.INTL(F191,G191,1,Data!$C$3:$C$57)</f>
        <v>45855</v>
      </c>
      <c r="I191" s="230" t="s">
        <v>525</v>
      </c>
      <c r="J191" s="632">
        <v>-3</v>
      </c>
      <c r="K191" s="672"/>
      <c r="L191" s="673">
        <v>4</v>
      </c>
      <c r="M191" s="672"/>
      <c r="N191" s="121"/>
      <c r="P191" s="244">
        <v>0</v>
      </c>
      <c r="Q191" s="244">
        <v>0</v>
      </c>
      <c r="R191" s="121"/>
      <c r="T191" s="123"/>
      <c r="U191" s="120"/>
      <c r="V191" s="120"/>
      <c r="W191" s="120"/>
      <c r="X191" s="120"/>
    </row>
    <row r="192" spans="2:24" s="111" customFormat="1" ht="14.25" customHeight="1">
      <c r="B192" s="239"/>
      <c r="C192" s="240" t="s">
        <v>695</v>
      </c>
      <c r="D192" s="207"/>
      <c r="E192" s="207"/>
      <c r="F192" s="241">
        <f>WORKDAY.INTL(H191,E192,1,Data!$C$3:$C$57)</f>
        <v>45855</v>
      </c>
      <c r="G192" s="242">
        <v>3</v>
      </c>
      <c r="H192" s="241">
        <f>WORKDAY.INTL(F192,G192,1,Data!$C$3:$C$57)</f>
        <v>45860</v>
      </c>
      <c r="I192" s="230" t="s">
        <v>525</v>
      </c>
      <c r="J192" s="632">
        <v>-3</v>
      </c>
      <c r="K192" s="672"/>
      <c r="L192" s="673">
        <v>3</v>
      </c>
      <c r="M192" s="672"/>
      <c r="N192" s="121"/>
      <c r="P192" s="244">
        <v>0</v>
      </c>
      <c r="Q192" s="244">
        <v>0</v>
      </c>
      <c r="R192" s="121"/>
      <c r="T192" s="123"/>
      <c r="U192" s="120"/>
      <c r="V192" s="120"/>
      <c r="W192" s="120"/>
      <c r="X192" s="120"/>
    </row>
    <row r="193" spans="2:24" s="111" customFormat="1" ht="14.25" customHeight="1">
      <c r="B193" s="239"/>
      <c r="C193" s="240" t="s">
        <v>696</v>
      </c>
      <c r="D193" s="207"/>
      <c r="E193" s="207"/>
      <c r="F193" s="241">
        <f>WORKDAY.INTL(H192,E193,1,Data!$C$3:$C$57)</f>
        <v>45860</v>
      </c>
      <c r="G193" s="242">
        <v>2</v>
      </c>
      <c r="H193" s="241">
        <f>WORKDAY.INTL(F193,G193,1,Data!$C$3:$C$57)</f>
        <v>45862</v>
      </c>
      <c r="I193" s="230" t="s">
        <v>525</v>
      </c>
      <c r="J193" s="632">
        <v>-2</v>
      </c>
      <c r="K193" s="672"/>
      <c r="L193" s="673">
        <v>2</v>
      </c>
      <c r="M193" s="672"/>
      <c r="N193" s="121"/>
      <c r="P193" s="244">
        <v>0</v>
      </c>
      <c r="Q193" s="244">
        <v>0</v>
      </c>
      <c r="R193" s="121"/>
      <c r="T193" s="123"/>
      <c r="U193" s="120"/>
      <c r="V193" s="120"/>
      <c r="W193" s="120"/>
      <c r="X193" s="120"/>
    </row>
    <row r="194" spans="2:24" s="111" customFormat="1" ht="14.25" customHeight="1">
      <c r="B194" s="239"/>
      <c r="C194" s="240" t="s">
        <v>679</v>
      </c>
      <c r="D194" s="207"/>
      <c r="E194" s="207"/>
      <c r="F194" s="241">
        <f>WORKDAY.INTL(H193,E194,1,Data!$C$3:$C$57)</f>
        <v>45862</v>
      </c>
      <c r="G194" s="242">
        <v>5</v>
      </c>
      <c r="H194" s="241">
        <f>WORKDAY.INTL(F194,G194,1,Data!$C$3:$C$57)</f>
        <v>45869</v>
      </c>
      <c r="I194" s="230" t="s">
        <v>525</v>
      </c>
      <c r="J194" s="632">
        <v>-1</v>
      </c>
      <c r="K194" s="672"/>
      <c r="L194" s="673">
        <v>1</v>
      </c>
      <c r="M194" s="672"/>
      <c r="N194" s="121"/>
      <c r="P194" s="244">
        <v>0</v>
      </c>
      <c r="Q194" s="244">
        <v>0</v>
      </c>
      <c r="R194" s="121"/>
      <c r="T194" s="123"/>
      <c r="U194" s="120"/>
      <c r="V194" s="120"/>
      <c r="W194" s="120"/>
      <c r="X194" s="120"/>
    </row>
    <row r="195" spans="2:24" s="111" customFormat="1" ht="14.25" customHeight="1">
      <c r="B195" s="239"/>
      <c r="C195" s="240" t="s">
        <v>697</v>
      </c>
      <c r="D195" s="207"/>
      <c r="E195" s="207"/>
      <c r="F195" s="241">
        <f>WORKDAY.INTL(H194,E195,1,Data!$C$3:$C$57)</f>
        <v>45869</v>
      </c>
      <c r="G195" s="242">
        <v>2</v>
      </c>
      <c r="H195" s="241">
        <f>WORKDAY.INTL(F195,G195,1,Data!$C$3:$C$57)</f>
        <v>45873</v>
      </c>
      <c r="I195" s="230" t="s">
        <v>525</v>
      </c>
      <c r="J195" s="632"/>
      <c r="K195" s="672"/>
      <c r="L195" s="673">
        <v>1</v>
      </c>
      <c r="M195" s="672">
        <v>46248</v>
      </c>
      <c r="N195" s="121"/>
      <c r="P195" s="244">
        <v>0</v>
      </c>
      <c r="Q195" s="244">
        <v>0</v>
      </c>
      <c r="R195" s="121"/>
      <c r="T195" s="123"/>
      <c r="U195" s="120"/>
      <c r="V195" s="120"/>
      <c r="W195" s="120"/>
      <c r="X195" s="120"/>
    </row>
    <row r="196" spans="2:24" s="111" customFormat="1" ht="14.25" customHeight="1">
      <c r="B196" s="239"/>
      <c r="C196" s="240" t="s">
        <v>681</v>
      </c>
      <c r="D196" s="207"/>
      <c r="E196" s="207"/>
      <c r="F196" s="241">
        <f>WORKDAY.INTL(H195,E196,1,Data!$C$3:$C$57)</f>
        <v>45873</v>
      </c>
      <c r="G196" s="242">
        <v>10</v>
      </c>
      <c r="H196" s="241">
        <f>WORKDAY.INTL(F196,G196,1,Data!$C$3:$C$57)</f>
        <v>45887</v>
      </c>
      <c r="I196" s="230" t="s">
        <v>525</v>
      </c>
      <c r="J196" s="632"/>
      <c r="K196" s="672"/>
      <c r="L196" s="673">
        <v>5</v>
      </c>
      <c r="M196" s="672"/>
      <c r="N196" s="121"/>
      <c r="P196" s="244">
        <v>0</v>
      </c>
      <c r="Q196" s="244">
        <v>0</v>
      </c>
      <c r="R196" s="121"/>
      <c r="T196" s="123"/>
      <c r="U196" s="120"/>
    </row>
    <row r="197" spans="2:24" s="111" customFormat="1" ht="14.25" customHeight="1">
      <c r="B197" s="239"/>
      <c r="C197" s="240" t="s">
        <v>682</v>
      </c>
      <c r="D197" s="207"/>
      <c r="E197" s="207"/>
      <c r="F197" s="241">
        <f>WORKDAY.INTL(H196,E197,1,Data!$C$3:$C$57)</f>
        <v>45887</v>
      </c>
      <c r="G197" s="242">
        <v>1</v>
      </c>
      <c r="H197" s="241">
        <f>WORKDAY.INTL(F197,G197,1,Data!$C$3:$C$57)</f>
        <v>45888</v>
      </c>
      <c r="I197" s="230" t="s">
        <v>525</v>
      </c>
      <c r="J197" s="632"/>
      <c r="K197" s="672"/>
      <c r="L197" s="673">
        <v>1</v>
      </c>
      <c r="M197" s="672"/>
      <c r="N197" s="121"/>
      <c r="P197" s="244">
        <v>0</v>
      </c>
      <c r="Q197" s="244">
        <v>0</v>
      </c>
      <c r="R197" s="121"/>
      <c r="T197" s="123"/>
      <c r="U197" s="120"/>
      <c r="V197" s="120"/>
      <c r="W197" s="120"/>
      <c r="X197" s="120"/>
    </row>
    <row r="198" spans="2:24" s="111" customFormat="1" ht="14.25" customHeight="1">
      <c r="B198" s="231"/>
      <c r="C198" s="207"/>
      <c r="D198" s="207"/>
      <c r="E198" s="207"/>
      <c r="F198" s="232"/>
      <c r="G198" s="232"/>
      <c r="H198" s="233"/>
      <c r="I198" s="230"/>
      <c r="J198" s="632"/>
      <c r="K198" s="674"/>
      <c r="L198" s="674"/>
      <c r="M198" s="675"/>
      <c r="N198" s="121"/>
      <c r="R198" s="121"/>
      <c r="T198" s="123"/>
      <c r="U198" s="120"/>
      <c r="V198" s="120"/>
      <c r="W198" s="120"/>
      <c r="X198" s="120"/>
    </row>
    <row r="199" spans="2:24" s="111" customFormat="1" ht="14.25" customHeight="1">
      <c r="B199" s="235">
        <v>12</v>
      </c>
      <c r="C199" s="236" t="s">
        <v>698</v>
      </c>
      <c r="D199" s="211"/>
      <c r="E199" s="211"/>
      <c r="F199" s="237">
        <f>MIN(F200:F221)</f>
        <v>45812</v>
      </c>
      <c r="G199" s="238">
        <f>H199-F199</f>
        <v>126</v>
      </c>
      <c r="H199" s="237">
        <f>MAX(H200:H221)</f>
        <v>45938</v>
      </c>
      <c r="I199" s="212" t="s">
        <v>523</v>
      </c>
      <c r="J199" s="631"/>
      <c r="K199" s="670">
        <f>MIN(K200:K221)</f>
        <v>46134</v>
      </c>
      <c r="L199" s="671">
        <f>NETWORKDAYS(K199,M199,Data!$C$3:$C$57)</f>
        <v>85</v>
      </c>
      <c r="M199" s="670">
        <f>MAX(M200:M221)</f>
        <v>46258</v>
      </c>
      <c r="N199" s="121" t="s">
        <v>641</v>
      </c>
      <c r="O199" s="113"/>
      <c r="P199" s="351">
        <f>AVERAGE(P200:P221)</f>
        <v>0</v>
      </c>
      <c r="Q199" s="351">
        <f ca="1">AVERAGE(Q200:Q221)</f>
        <v>0</v>
      </c>
      <c r="R199" s="121"/>
      <c r="T199" s="3"/>
      <c r="U199" s="120"/>
      <c r="V199" s="120"/>
      <c r="W199" s="120"/>
      <c r="X199" s="120"/>
    </row>
    <row r="200" spans="2:24" s="111" customFormat="1" ht="14.25" customHeight="1">
      <c r="B200" s="239"/>
      <c r="C200" s="240" t="s">
        <v>642</v>
      </c>
      <c r="D200" s="207"/>
      <c r="E200" s="207"/>
      <c r="F200" s="241">
        <f>F137+2</f>
        <v>45812</v>
      </c>
      <c r="G200" s="242">
        <v>2</v>
      </c>
      <c r="H200" s="241">
        <f>WORKDAY.INTL(F200,G200,1,Data!$C$3:$C$57)</f>
        <v>45814</v>
      </c>
      <c r="I200" s="230" t="s">
        <v>525</v>
      </c>
      <c r="J200" s="632"/>
      <c r="K200" s="713">
        <f>M21</f>
        <v>46134</v>
      </c>
      <c r="L200" s="673">
        <v>1</v>
      </c>
      <c r="M200" s="672">
        <f>WORKDAY.INTL(K200,L200,1,Data!$C$3:$C$57)</f>
        <v>46135</v>
      </c>
      <c r="N200" s="121"/>
      <c r="P200" s="244">
        <v>0</v>
      </c>
      <c r="Q200" s="244">
        <f t="shared" ref="Q200:Q221" ca="1" si="15">_xlfn.LET(
  _xlpm.s,VALUE($K200),
  _xlpm.e,VALUE($M200),
  IF(OR(_xlpm.s="",_xlpm.e=""),"", IF(_xlpm.e&lt;=_xlpm.s, IF(TODAY()&gt;=_xlpm.e,1,0), MAX(0,MIN(1,(TODAY()-_xlpm.s)/(_xlpm.e-_xlpm.s)))))
)</f>
        <v>0</v>
      </c>
      <c r="R200" s="121"/>
      <c r="T200" s="123"/>
      <c r="U200" s="120"/>
      <c r="V200" s="120"/>
      <c r="W200" s="120"/>
      <c r="X200" s="120"/>
    </row>
    <row r="201" spans="2:24" s="111" customFormat="1" ht="14.25" customHeight="1">
      <c r="B201" s="239"/>
      <c r="C201" s="604" t="s">
        <v>699</v>
      </c>
      <c r="D201" s="207"/>
      <c r="E201" s="207"/>
      <c r="F201" s="241">
        <f>WORKDAY.INTL(H200,E201,1,Data!$C$3:$C$57)</f>
        <v>45814</v>
      </c>
      <c r="G201" s="242">
        <v>1</v>
      </c>
      <c r="H201" s="241">
        <f>WORKDAY.INTL(F201,G201,1,Data!$C$3:$C$57)</f>
        <v>45817</v>
      </c>
      <c r="I201" s="230" t="s">
        <v>525</v>
      </c>
      <c r="J201" s="632"/>
      <c r="K201" s="672">
        <f>WORKDAY.INTL(M200,J201,1,Data!$C$3:$C$57)</f>
        <v>46135</v>
      </c>
      <c r="L201" s="673">
        <v>1</v>
      </c>
      <c r="M201" s="672">
        <f>WORKDAY.INTL(K201,L201,1,Data!$C$3:$C$57)</f>
        <v>46136</v>
      </c>
      <c r="N201" s="121"/>
      <c r="P201" s="244">
        <v>0</v>
      </c>
      <c r="Q201" s="244">
        <f t="shared" ca="1" si="15"/>
        <v>0</v>
      </c>
      <c r="R201" s="121"/>
      <c r="T201" s="123"/>
      <c r="U201" s="120"/>
      <c r="V201" s="120"/>
      <c r="W201" s="120"/>
      <c r="X201" s="120"/>
    </row>
    <row r="202" spans="2:24" s="111" customFormat="1" ht="14.25" customHeight="1">
      <c r="B202" s="239"/>
      <c r="C202" s="605" t="s">
        <v>700</v>
      </c>
      <c r="D202" s="207"/>
      <c r="E202" s="207"/>
      <c r="F202" s="241">
        <f>WORKDAY.INTL(H201,E202,1,Data!$C$3:$C$57)</f>
        <v>45817</v>
      </c>
      <c r="G202" s="242">
        <v>2</v>
      </c>
      <c r="H202" s="241">
        <f>WORKDAY.INTL(F202,G202,1,Data!$C$3:$C$57)</f>
        <v>45819</v>
      </c>
      <c r="I202" s="230" t="s">
        <v>525</v>
      </c>
      <c r="J202" s="632"/>
      <c r="K202" s="672">
        <f>WORKDAY.INTL(M201,J202,1,)</f>
        <v>46136</v>
      </c>
      <c r="L202" s="673">
        <v>2</v>
      </c>
      <c r="M202" s="672">
        <f>WORKDAY.INTL(K202,L202,1,)</f>
        <v>46140</v>
      </c>
      <c r="N202" s="121"/>
      <c r="P202" s="244">
        <v>0</v>
      </c>
      <c r="Q202" s="244">
        <f t="shared" ca="1" si="15"/>
        <v>0</v>
      </c>
      <c r="R202" s="121"/>
      <c r="T202" s="123"/>
      <c r="U202" s="120"/>
      <c r="V202" s="120"/>
      <c r="W202" s="120"/>
      <c r="X202" s="120"/>
    </row>
    <row r="203" spans="2:24" s="111" customFormat="1" ht="14.25" customHeight="1">
      <c r="B203" s="239"/>
      <c r="C203" s="240" t="s">
        <v>701</v>
      </c>
      <c r="D203" s="207"/>
      <c r="E203" s="207">
        <v>0</v>
      </c>
      <c r="F203" s="241">
        <f>WORKDAY.INTL(H201,E203,1,Data!$C$3:$C$57)</f>
        <v>45817</v>
      </c>
      <c r="G203" s="242">
        <v>1</v>
      </c>
      <c r="H203" s="241">
        <f>WORKDAY.INTL(F203,G203,1,Data!$C$3:$C$57)</f>
        <v>45818</v>
      </c>
      <c r="I203" s="230" t="s">
        <v>525</v>
      </c>
      <c r="J203" s="632">
        <v>0</v>
      </c>
      <c r="K203" s="672">
        <f>WORKDAY.INTL(K200,J203,1,Data!$C$3:$C$57)</f>
        <v>46134</v>
      </c>
      <c r="L203" s="673">
        <v>1</v>
      </c>
      <c r="M203" s="672">
        <f>WORKDAY.INTL(K203,L203,1,Data!$C$3:$C$57)</f>
        <v>46135</v>
      </c>
      <c r="N203" s="121"/>
      <c r="P203" s="244">
        <v>0</v>
      </c>
      <c r="Q203" s="244">
        <f t="shared" ca="1" si="15"/>
        <v>0</v>
      </c>
      <c r="R203" s="121"/>
      <c r="T203" s="123"/>
      <c r="U203" s="120"/>
      <c r="V203" s="120"/>
      <c r="W203" s="120"/>
      <c r="X203" s="120"/>
    </row>
    <row r="204" spans="2:24" s="111" customFormat="1" ht="14.25" customHeight="1">
      <c r="B204" s="239"/>
      <c r="C204" s="240" t="s">
        <v>702</v>
      </c>
      <c r="D204" s="207"/>
      <c r="E204" s="207"/>
      <c r="F204" s="241">
        <f>WORKDAY.INTL(H202,E204,1,Data!$C$3:$C$57)</f>
        <v>45819</v>
      </c>
      <c r="G204" s="242">
        <v>12</v>
      </c>
      <c r="H204" s="241">
        <f>WORKDAY.INTL(F204,G204,1,Data!$C$3:$C$57)</f>
        <v>45838</v>
      </c>
      <c r="I204" s="230" t="s">
        <v>525</v>
      </c>
      <c r="J204" s="632"/>
      <c r="K204" s="672">
        <f>WORKDAY.INTL(M202,J204,1,)</f>
        <v>46140</v>
      </c>
      <c r="L204" s="673">
        <v>15</v>
      </c>
      <c r="M204" s="672">
        <f>WORKDAY.INTL(K204,L204,1,)</f>
        <v>46161</v>
      </c>
      <c r="N204" s="121"/>
      <c r="P204" s="244">
        <v>0</v>
      </c>
      <c r="Q204" s="244">
        <f t="shared" ca="1" si="15"/>
        <v>0</v>
      </c>
      <c r="R204" s="121"/>
      <c r="T204" s="123"/>
      <c r="U204" s="120"/>
      <c r="V204" s="120"/>
      <c r="W204" s="120"/>
      <c r="X204" s="120"/>
    </row>
    <row r="205" spans="2:24" s="111" customFormat="1" ht="14.25" customHeight="1">
      <c r="B205" s="239"/>
      <c r="C205" s="240" t="s">
        <v>703</v>
      </c>
      <c r="D205" s="207"/>
      <c r="E205" s="207"/>
      <c r="F205" s="241">
        <f>WORKDAY.INTL(H203,E205,1,Data!$C$3:$C$57)</f>
        <v>45818</v>
      </c>
      <c r="G205" s="242">
        <v>17</v>
      </c>
      <c r="H205" s="241">
        <f>WORKDAY.INTL(F205,G205,1,Data!$C$3:$C$57)</f>
        <v>45842</v>
      </c>
      <c r="I205" s="230" t="s">
        <v>525</v>
      </c>
      <c r="J205" s="632"/>
      <c r="K205" s="672">
        <f>WORKDAY.INTL(M203,J205,1,)</f>
        <v>46135</v>
      </c>
      <c r="L205" s="673">
        <v>15</v>
      </c>
      <c r="M205" s="672">
        <f>WORKDAY.INTL(K205,L205,1,)</f>
        <v>46156</v>
      </c>
      <c r="N205" s="121"/>
      <c r="P205" s="244">
        <v>0</v>
      </c>
      <c r="Q205" s="244">
        <f t="shared" ca="1" si="15"/>
        <v>0</v>
      </c>
      <c r="R205" s="121"/>
      <c r="T205" s="123"/>
      <c r="U205" s="120"/>
      <c r="V205" s="120"/>
      <c r="W205" s="120"/>
      <c r="X205" s="120"/>
    </row>
    <row r="206" spans="2:24" s="111" customFormat="1" ht="14.25" customHeight="1">
      <c r="B206" s="239"/>
      <c r="C206" s="240" t="s">
        <v>704</v>
      </c>
      <c r="D206" s="207"/>
      <c r="E206" s="207"/>
      <c r="F206" s="241">
        <f>WORKDAY.INTL(H204,E206,1,Data!$C$3:$C$57)</f>
        <v>45838</v>
      </c>
      <c r="G206" s="242">
        <v>8</v>
      </c>
      <c r="H206" s="241">
        <f>WORKDAY.INTL(F206,G206,1,Data!$C$3:$C$57)</f>
        <v>45848</v>
      </c>
      <c r="I206" s="230" t="s">
        <v>525</v>
      </c>
      <c r="J206" s="632"/>
      <c r="K206" s="672">
        <f>WORKDAY.INTL(M204,J206,1,Data!$C$3:$C$57)</f>
        <v>46161</v>
      </c>
      <c r="L206" s="673">
        <v>8</v>
      </c>
      <c r="M206" s="672">
        <f>WORKDAY.INTL(K206,L206,1,Data!$C$3:$C$57)</f>
        <v>46171</v>
      </c>
      <c r="N206" s="121"/>
      <c r="P206" s="244">
        <v>0</v>
      </c>
      <c r="Q206" s="244">
        <f t="shared" ca="1" si="15"/>
        <v>0</v>
      </c>
      <c r="R206" s="121"/>
      <c r="T206" s="123"/>
      <c r="U206" s="120"/>
      <c r="V206" s="120"/>
      <c r="W206" s="120"/>
      <c r="X206" s="120"/>
    </row>
    <row r="207" spans="2:24" s="111" customFormat="1" ht="14.25" customHeight="1">
      <c r="B207" s="239"/>
      <c r="C207" s="240" t="s">
        <v>705</v>
      </c>
      <c r="D207" s="207"/>
      <c r="E207" s="207"/>
      <c r="F207" s="241">
        <f>WORKDAY.INTL(H205,E207,1,Data!$C$3:$C$57)</f>
        <v>45842</v>
      </c>
      <c r="G207" s="242">
        <v>11</v>
      </c>
      <c r="H207" s="241">
        <f>WORKDAY.INTL(F207,G207,1,Data!$C$3:$C$57)</f>
        <v>45859</v>
      </c>
      <c r="I207" s="230" t="s">
        <v>525</v>
      </c>
      <c r="J207" s="632"/>
      <c r="K207" s="672">
        <f>WORKDAY.INTL(M205,J207,1,Data!$C$3:$C$57)</f>
        <v>46156</v>
      </c>
      <c r="L207" s="673">
        <v>11</v>
      </c>
      <c r="M207" s="672">
        <f>WORKDAY.INTL(K207,L207,1,Data!$C$3:$C$57)</f>
        <v>46171</v>
      </c>
      <c r="N207" s="121"/>
      <c r="P207" s="244">
        <v>0</v>
      </c>
      <c r="Q207" s="244">
        <f t="shared" ca="1" si="15"/>
        <v>0</v>
      </c>
      <c r="R207" s="121"/>
      <c r="T207" s="123"/>
      <c r="U207" s="120"/>
      <c r="V207" s="120"/>
      <c r="W207" s="120"/>
      <c r="X207" s="120"/>
    </row>
    <row r="208" spans="2:24" s="111" customFormat="1" ht="14.25" customHeight="1">
      <c r="B208" s="239"/>
      <c r="C208" s="240" t="s">
        <v>650</v>
      </c>
      <c r="D208" s="207"/>
      <c r="E208" s="207">
        <v>-4</v>
      </c>
      <c r="F208" s="241">
        <f>WORKDAY.INTL(H205,E208,1,Data!$C$3:$C$57)</f>
        <v>45838</v>
      </c>
      <c r="G208" s="242">
        <v>3</v>
      </c>
      <c r="H208" s="241">
        <f>WORKDAY.INTL(F208,G208,1,Data!$C$3:$C$57)</f>
        <v>45841</v>
      </c>
      <c r="I208" s="230" t="s">
        <v>525</v>
      </c>
      <c r="J208" s="632"/>
      <c r="K208" s="672">
        <f>M119</f>
        <v>46157</v>
      </c>
      <c r="L208" s="673">
        <v>3</v>
      </c>
      <c r="M208" s="672">
        <f>WORKDAY.INTL(K208,L208,1,Data!$C$3:$C$57)</f>
        <v>46162</v>
      </c>
      <c r="N208" s="121"/>
      <c r="P208" s="244">
        <v>0</v>
      </c>
      <c r="Q208" s="244">
        <f t="shared" ca="1" si="15"/>
        <v>0</v>
      </c>
      <c r="R208" s="121"/>
      <c r="T208" s="123"/>
      <c r="U208" s="120"/>
      <c r="V208" s="120"/>
      <c r="W208" s="120"/>
      <c r="X208" s="120"/>
    </row>
    <row r="209" spans="2:29" s="111" customFormat="1" ht="14.25" customHeight="1">
      <c r="B209" s="239"/>
      <c r="C209" s="240" t="s">
        <v>653</v>
      </c>
      <c r="D209" s="207"/>
      <c r="E209" s="207">
        <v>-4</v>
      </c>
      <c r="F209" s="241">
        <f>WORKDAY.INTL(H206,E209,1,Data!$C$3:$C$57)</f>
        <v>45842</v>
      </c>
      <c r="G209" s="242">
        <v>3</v>
      </c>
      <c r="H209" s="241">
        <f>WORKDAY.INTL(F209,G209,1,Data!$C$3:$C$57)</f>
        <v>45847</v>
      </c>
      <c r="I209" s="230" t="s">
        <v>525</v>
      </c>
      <c r="J209" s="632">
        <v>-5</v>
      </c>
      <c r="K209" s="672">
        <f>WORKDAY.INTL(K213,J209,1,Data!$C$3:$C$57)</f>
        <v>46176</v>
      </c>
      <c r="L209" s="673">
        <v>3</v>
      </c>
      <c r="M209" s="672">
        <f>WORKDAY.INTL(K209,L209,1,Data!$C$3:$C$57)</f>
        <v>46181</v>
      </c>
      <c r="N209" s="121"/>
      <c r="P209" s="244">
        <v>0</v>
      </c>
      <c r="Q209" s="244">
        <f t="shared" ca="1" si="15"/>
        <v>0</v>
      </c>
      <c r="R209" s="121"/>
      <c r="T209" s="123"/>
      <c r="U209" s="120"/>
      <c r="V209" s="120"/>
      <c r="W209" s="120"/>
      <c r="X209" s="120"/>
    </row>
    <row r="210" spans="2:29" s="111" customFormat="1" ht="14.25" customHeight="1">
      <c r="B210" s="239"/>
      <c r="C210" s="240" t="s">
        <v>706</v>
      </c>
      <c r="D210" s="207"/>
      <c r="E210" s="207">
        <v>-2</v>
      </c>
      <c r="F210" s="241">
        <f>WORKDAY.INTL(H205,E210,1,Data!$C$3:$C$57)</f>
        <v>45840</v>
      </c>
      <c r="G210" s="242">
        <v>1</v>
      </c>
      <c r="H210" s="241">
        <f>WORKDAY.INTL(F210,G210,1,Data!$C$3:$C$57)</f>
        <v>45841</v>
      </c>
      <c r="I210" s="230" t="s">
        <v>525</v>
      </c>
      <c r="J210" s="632">
        <v>-3</v>
      </c>
      <c r="K210" s="672">
        <f>WORKDAY.INTL(M205,J210,1,Data!$C$3:$C$57)</f>
        <v>46153</v>
      </c>
      <c r="L210" s="673">
        <v>1</v>
      </c>
      <c r="M210" s="672">
        <f>WORKDAY.INTL(K210,L210,1,Data!$C$3:$C$57)</f>
        <v>46154</v>
      </c>
      <c r="N210" s="121"/>
      <c r="P210" s="244">
        <v>0</v>
      </c>
      <c r="Q210" s="244">
        <f t="shared" ca="1" si="15"/>
        <v>0</v>
      </c>
      <c r="R210" s="121"/>
      <c r="T210" s="123"/>
      <c r="U210" s="120"/>
      <c r="V210" s="120"/>
      <c r="W210" s="120"/>
      <c r="X210" s="120"/>
    </row>
    <row r="211" spans="2:29" s="111" customFormat="1" ht="14.25" customHeight="1">
      <c r="B211" s="239"/>
      <c r="C211" s="240" t="s">
        <v>707</v>
      </c>
      <c r="D211" s="207"/>
      <c r="E211" s="207"/>
      <c r="F211" s="241">
        <f>WORKDAY.INTL(H210,E211,1,Data!$C$3:$C$57)</f>
        <v>45841</v>
      </c>
      <c r="G211" s="242">
        <v>1</v>
      </c>
      <c r="H211" s="241">
        <f>WORKDAY.INTL(F211,G211,1,Data!$C$3:$C$57)</f>
        <v>45842</v>
      </c>
      <c r="I211" s="230" t="s">
        <v>525</v>
      </c>
      <c r="J211" s="632"/>
      <c r="K211" s="672">
        <f>WORKDAY.INTL(M210,J211,1,Data!$C$3:$C$57)</f>
        <v>46154</v>
      </c>
      <c r="L211" s="673">
        <v>1</v>
      </c>
      <c r="M211" s="672">
        <f>WORKDAY.INTL(K211,L211,1,Data!$C$3:$C$57)</f>
        <v>46155</v>
      </c>
      <c r="N211" s="121"/>
      <c r="P211" s="244">
        <v>0</v>
      </c>
      <c r="Q211" s="244">
        <f t="shared" ca="1" si="15"/>
        <v>0</v>
      </c>
      <c r="R211" s="121"/>
      <c r="T211" s="123"/>
      <c r="U211" s="120"/>
      <c r="V211" s="120"/>
      <c r="W211" s="120"/>
      <c r="X211" s="120"/>
    </row>
    <row r="212" spans="2:29" s="111" customFormat="1" ht="14.25" customHeight="1">
      <c r="B212" s="239"/>
      <c r="C212" s="240" t="s">
        <v>708</v>
      </c>
      <c r="D212" s="207"/>
      <c r="E212" s="207"/>
      <c r="F212" s="241">
        <f>WORKDAY.INTL(H211,E212,1,Data!$C$3:$C$57)</f>
        <v>45842</v>
      </c>
      <c r="G212" s="242">
        <v>18</v>
      </c>
      <c r="H212" s="241">
        <f>WORKDAY.INTL(F212,G212,1,Data!$C$3:$C$57)</f>
        <v>45868</v>
      </c>
      <c r="I212" s="230" t="s">
        <v>525</v>
      </c>
      <c r="J212" s="632"/>
      <c r="K212" s="672">
        <f>WORKDAY.INTL(M211,J212,1,Data!$C$3:$C$57)</f>
        <v>46155</v>
      </c>
      <c r="L212" s="673">
        <v>20</v>
      </c>
      <c r="M212" s="672">
        <f>WORKDAY.INTL(K212,L212,1,Data!$C$3:$C$57)</f>
        <v>46183</v>
      </c>
      <c r="N212" s="121"/>
      <c r="P212" s="244">
        <v>0</v>
      </c>
      <c r="Q212" s="244">
        <f t="shared" ca="1" si="15"/>
        <v>0</v>
      </c>
      <c r="R212" s="121"/>
      <c r="T212" s="123"/>
      <c r="U212" s="120"/>
      <c r="V212" s="120"/>
      <c r="W212" s="120"/>
      <c r="X212" s="120"/>
    </row>
    <row r="213" spans="2:29" s="111" customFormat="1" ht="14.25" customHeight="1">
      <c r="B213" s="239"/>
      <c r="C213" s="240" t="s">
        <v>709</v>
      </c>
      <c r="D213" s="207"/>
      <c r="E213" s="207"/>
      <c r="F213" s="241">
        <f>WORKDAY.INTL(H212,E213,1,Data!$C$3:$C$57)</f>
        <v>45868</v>
      </c>
      <c r="G213" s="242">
        <v>18</v>
      </c>
      <c r="H213" s="241">
        <f>WORKDAY.INTL(F213,G213,1,Data!$C$3:$C$57)</f>
        <v>45894</v>
      </c>
      <c r="I213" s="230" t="s">
        <v>525</v>
      </c>
      <c r="J213" s="632"/>
      <c r="K213" s="672">
        <f>WORKDAY.INTL(M212,J213,1,Data!$C$3:$C$57)</f>
        <v>46183</v>
      </c>
      <c r="L213" s="673">
        <v>20</v>
      </c>
      <c r="M213" s="672">
        <f>WORKDAY.INTL(K213,L213,1,Data!$C$3:$C$57)</f>
        <v>46212</v>
      </c>
      <c r="N213" s="121"/>
      <c r="P213" s="244">
        <v>0</v>
      </c>
      <c r="Q213" s="244">
        <f t="shared" ca="1" si="15"/>
        <v>0</v>
      </c>
      <c r="R213" s="121"/>
      <c r="T213" s="123"/>
      <c r="U213" s="120"/>
      <c r="V213" s="120"/>
      <c r="W213" s="120"/>
      <c r="X213" s="120"/>
    </row>
    <row r="214" spans="2:29" s="111" customFormat="1" ht="14.25" customHeight="1">
      <c r="B214" s="239"/>
      <c r="C214" s="240" t="s">
        <v>710</v>
      </c>
      <c r="D214" s="207"/>
      <c r="E214" s="207"/>
      <c r="F214" s="241">
        <f>WORKDAY.INTL(H212,E214,1,Data!$C$3:$C$57)</f>
        <v>45868</v>
      </c>
      <c r="G214" s="242">
        <v>8</v>
      </c>
      <c r="H214" s="241">
        <f>WORKDAY.INTL(F214,G214,1,Data!$C$3:$C$57)</f>
        <v>45880</v>
      </c>
      <c r="I214" s="230" t="s">
        <v>525</v>
      </c>
      <c r="J214" s="632"/>
      <c r="K214" s="672">
        <f>WORKDAY.INTL(M212,J214,1,Data!$C$3:$C$57)</f>
        <v>46183</v>
      </c>
      <c r="L214" s="673">
        <v>8</v>
      </c>
      <c r="M214" s="672">
        <f>WORKDAY.INTL(K214,L214,1,Data!$C$3:$C$57)</f>
        <v>46196</v>
      </c>
      <c r="N214" s="121"/>
      <c r="P214" s="244">
        <v>0</v>
      </c>
      <c r="Q214" s="244">
        <f t="shared" ca="1" si="15"/>
        <v>0</v>
      </c>
      <c r="R214" s="121"/>
      <c r="T214" s="123"/>
      <c r="U214" s="120"/>
      <c r="V214" s="120"/>
      <c r="W214" s="120"/>
      <c r="X214" s="120"/>
    </row>
    <row r="215" spans="2:29" s="111" customFormat="1" ht="14.25" customHeight="1">
      <c r="B215" s="239"/>
      <c r="C215" s="240" t="s">
        <v>711</v>
      </c>
      <c r="D215" s="207"/>
      <c r="E215" s="207"/>
      <c r="F215" s="241">
        <f>WORKDAY.INTL(H214,E215,1,Data!$C$3:$C$57)</f>
        <v>45880</v>
      </c>
      <c r="G215" s="242">
        <v>5</v>
      </c>
      <c r="H215" s="241">
        <f>WORKDAY.INTL(F215,G215,1,Data!$C$3:$C$57)</f>
        <v>45887</v>
      </c>
      <c r="I215" s="230" t="s">
        <v>525</v>
      </c>
      <c r="J215" s="632"/>
      <c r="K215" s="672">
        <f>WORKDAY.INTL(M214,J215,1,Data!$C$3:$C$57)</f>
        <v>46196</v>
      </c>
      <c r="L215" s="673">
        <v>5</v>
      </c>
      <c r="M215" s="672">
        <f>WORKDAY.INTL(K215,L215,1,Data!$C$3:$C$57)</f>
        <v>46203</v>
      </c>
      <c r="N215" s="121"/>
      <c r="P215" s="244">
        <v>0</v>
      </c>
      <c r="Q215" s="244">
        <f t="shared" ca="1" si="15"/>
        <v>0</v>
      </c>
      <c r="R215" s="121"/>
      <c r="T215" s="123"/>
      <c r="U215" s="120"/>
      <c r="V215" s="120"/>
      <c r="W215" s="120"/>
      <c r="X215" s="120"/>
    </row>
    <row r="216" spans="2:29" s="111" customFormat="1" ht="14.25" customHeight="1">
      <c r="B216" s="239"/>
      <c r="C216" s="240" t="s">
        <v>712</v>
      </c>
      <c r="D216" s="207"/>
      <c r="E216" s="207"/>
      <c r="F216" s="241">
        <f>WORKDAY.INTL(H213,E216,1,Data!$C$3:$C$57)</f>
        <v>45894</v>
      </c>
      <c r="G216" s="242">
        <v>8</v>
      </c>
      <c r="H216" s="241">
        <f>WORKDAY.INTL(F216,G216,1,Data!$C$3:$C$57)</f>
        <v>45904</v>
      </c>
      <c r="I216" s="230" t="s">
        <v>525</v>
      </c>
      <c r="J216" s="632"/>
      <c r="K216" s="672">
        <f>WORKDAY.INTL(M213,J216,1,Data!$C$3:$C$57)</f>
        <v>46212</v>
      </c>
      <c r="L216" s="673">
        <v>8</v>
      </c>
      <c r="M216" s="672">
        <f>WORKDAY.INTL(K216,L216,1,Data!$C$3:$C$57)</f>
        <v>46224</v>
      </c>
      <c r="N216" s="121"/>
      <c r="P216" s="244">
        <v>0</v>
      </c>
      <c r="Q216" s="244">
        <f t="shared" ca="1" si="15"/>
        <v>0</v>
      </c>
      <c r="R216" s="121"/>
      <c r="T216" s="123"/>
      <c r="U216" s="120"/>
      <c r="V216" s="120"/>
      <c r="W216" s="120"/>
      <c r="X216" s="120"/>
    </row>
    <row r="217" spans="2:29" s="111" customFormat="1" ht="14.25" customHeight="1">
      <c r="B217" s="239"/>
      <c r="C217" s="240" t="s">
        <v>713</v>
      </c>
      <c r="D217" s="207"/>
      <c r="E217" s="207"/>
      <c r="F217" s="241">
        <f>WORKDAY.INTL(H216,E217,1,Data!$C$3:$C$57)</f>
        <v>45904</v>
      </c>
      <c r="G217" s="242">
        <v>5</v>
      </c>
      <c r="H217" s="241">
        <f>WORKDAY.INTL(F217,G217,1,Data!$C$3:$C$57)</f>
        <v>45911</v>
      </c>
      <c r="I217" s="230" t="s">
        <v>525</v>
      </c>
      <c r="J217" s="632"/>
      <c r="K217" s="672">
        <f>WORKDAY.INTL(M216,J217,1,Data!$C$3:$C$57)</f>
        <v>46224</v>
      </c>
      <c r="L217" s="673">
        <v>5</v>
      </c>
      <c r="M217" s="672">
        <f>WORKDAY.INTL(K217,L217,1,Data!$C$3:$C$57)</f>
        <v>46231</v>
      </c>
      <c r="N217" s="121"/>
      <c r="P217" s="244">
        <v>0</v>
      </c>
      <c r="Q217" s="244">
        <f t="shared" ca="1" si="15"/>
        <v>0</v>
      </c>
      <c r="R217" s="121"/>
      <c r="T217" s="123"/>
      <c r="U217" s="120"/>
      <c r="V217" s="120"/>
      <c r="W217" s="120"/>
      <c r="X217" s="120"/>
    </row>
    <row r="218" spans="2:29" s="111" customFormat="1" ht="14.25" customHeight="1">
      <c r="B218" s="239"/>
      <c r="C218" s="240" t="s">
        <v>679</v>
      </c>
      <c r="D218" s="207"/>
      <c r="E218" s="207">
        <v>-5</v>
      </c>
      <c r="F218" s="241">
        <f>WORKDAY.INTL(H217,E218,1,Data!$C$3:$C$57)</f>
        <v>45904</v>
      </c>
      <c r="G218" s="242">
        <v>10</v>
      </c>
      <c r="H218" s="241">
        <f>WORKDAY.INTL(F218,G218,1,Data!$C$3:$C$57)</f>
        <v>45918</v>
      </c>
      <c r="I218" s="230" t="s">
        <v>525</v>
      </c>
      <c r="J218" s="632">
        <v>-5</v>
      </c>
      <c r="K218" s="672">
        <f>WORKDAY.INTL(M217,J218,1,Data!$C$3:$C$57)</f>
        <v>46224</v>
      </c>
      <c r="L218" s="673">
        <v>15</v>
      </c>
      <c r="M218" s="672">
        <f>WORKDAY.INTL(K218,L218,1,Data!$C$3:$C$57)</f>
        <v>46246</v>
      </c>
      <c r="N218" s="121"/>
      <c r="P218" s="244">
        <v>0</v>
      </c>
      <c r="Q218" s="244">
        <f t="shared" ca="1" si="15"/>
        <v>0</v>
      </c>
      <c r="R218" s="121"/>
      <c r="T218" s="123"/>
      <c r="U218" s="120"/>
      <c r="V218" s="120"/>
      <c r="W218" s="120"/>
      <c r="X218" s="120"/>
    </row>
    <row r="219" spans="2:29" s="111" customFormat="1" ht="14.25" customHeight="1">
      <c r="B219" s="239"/>
      <c r="C219" s="240" t="s">
        <v>714</v>
      </c>
      <c r="D219" s="207"/>
      <c r="E219" s="207"/>
      <c r="F219" s="241">
        <f>WORKDAY.INTL(H218,E219,1,Data!$C$3:$C$57)</f>
        <v>45918</v>
      </c>
      <c r="G219" s="242">
        <v>2</v>
      </c>
      <c r="H219" s="241">
        <f>WORKDAY.INTL(F219,G219,1,Data!$C$3:$C$57)</f>
        <v>45922</v>
      </c>
      <c r="I219" s="230" t="s">
        <v>525</v>
      </c>
      <c r="J219" s="632"/>
      <c r="K219" s="672">
        <f>WORKDAY.INTL(M218,J219,1,Data!$C$3:$C$57)</f>
        <v>46246</v>
      </c>
      <c r="L219" s="673">
        <v>2</v>
      </c>
      <c r="M219" s="672">
        <f>WORKDAY.INTL(K219,L219,1,Data!$C$3:$C$57)</f>
        <v>46248</v>
      </c>
      <c r="N219" s="121"/>
      <c r="P219" s="244">
        <v>0</v>
      </c>
      <c r="Q219" s="244">
        <f t="shared" ca="1" si="15"/>
        <v>0</v>
      </c>
      <c r="R219" s="121"/>
      <c r="T219" s="123"/>
      <c r="U219" s="120"/>
      <c r="V219" s="120"/>
      <c r="W219" s="120"/>
      <c r="X219" s="120"/>
    </row>
    <row r="220" spans="2:29" s="111" customFormat="1" ht="14.25" customHeight="1">
      <c r="B220" s="239"/>
      <c r="C220" s="240" t="s">
        <v>681</v>
      </c>
      <c r="D220" s="207"/>
      <c r="E220" s="207"/>
      <c r="F220" s="241">
        <f>WORKDAY.INTL(H219,E220,1,Data!$C$3:$C$57)</f>
        <v>45922</v>
      </c>
      <c r="G220" s="242">
        <v>10</v>
      </c>
      <c r="H220" s="241">
        <f>WORKDAY.INTL(F220,G220,1,Data!$C$3:$C$57)</f>
        <v>45937</v>
      </c>
      <c r="I220" s="230" t="s">
        <v>525</v>
      </c>
      <c r="J220" s="632"/>
      <c r="K220" s="672">
        <f>WORKDAY.INTL(M219,J220,1,Data!$C$3:$C$57)</f>
        <v>46248</v>
      </c>
      <c r="L220" s="673">
        <v>5</v>
      </c>
      <c r="M220" s="672">
        <f>WORKDAY.INTL(K220,L220,1,Data!$C$3:$C$57)</f>
        <v>46255</v>
      </c>
      <c r="N220" s="121"/>
      <c r="P220" s="244">
        <v>0</v>
      </c>
      <c r="Q220" s="244">
        <f t="shared" ca="1" si="15"/>
        <v>0</v>
      </c>
      <c r="R220" s="121"/>
      <c r="T220" s="123"/>
      <c r="U220" s="120"/>
    </row>
    <row r="221" spans="2:29" s="111" customFormat="1" ht="14.25" customHeight="1">
      <c r="B221" s="239"/>
      <c r="C221" s="240" t="s">
        <v>682</v>
      </c>
      <c r="D221" s="207"/>
      <c r="E221" s="207"/>
      <c r="F221" s="241">
        <f>WORKDAY.INTL(H220,E221,1,Data!$C$3:$C$57)</f>
        <v>45937</v>
      </c>
      <c r="G221" s="242">
        <v>1</v>
      </c>
      <c r="H221" s="241">
        <f>WORKDAY.INTL(F221,G221,1,Data!$C$3:$C$57)</f>
        <v>45938</v>
      </c>
      <c r="I221" s="230" t="s">
        <v>525</v>
      </c>
      <c r="J221" s="632"/>
      <c r="K221" s="672">
        <f>WORKDAY.INTL(M220,J221,1,Data!$C$3:$C$57)</f>
        <v>46255</v>
      </c>
      <c r="L221" s="673">
        <v>1</v>
      </c>
      <c r="M221" s="672">
        <f>WORKDAY.INTL(K221,L221,1,Data!$C$3:$C$57)</f>
        <v>46258</v>
      </c>
      <c r="N221" s="121"/>
      <c r="P221" s="244">
        <v>0</v>
      </c>
      <c r="Q221" s="244">
        <f t="shared" ca="1" si="15"/>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32"/>
      <c r="K222" s="674"/>
      <c r="L222" s="674"/>
      <c r="M222" s="675"/>
      <c r="N222" s="121"/>
      <c r="R222" s="121"/>
      <c r="T222" s="123"/>
      <c r="U222" s="120"/>
      <c r="V222" s="120"/>
      <c r="W222" s="120"/>
      <c r="X222" s="120"/>
    </row>
    <row r="223" spans="2:29" s="111" customFormat="1" ht="14.25" customHeight="1">
      <c r="B223" s="875">
        <v>13</v>
      </c>
      <c r="C223" s="876" t="s">
        <v>715</v>
      </c>
      <c r="D223" s="211"/>
      <c r="E223" s="211"/>
      <c r="F223" s="237"/>
      <c r="G223" s="238"/>
      <c r="H223" s="237"/>
      <c r="I223" s="212" t="s">
        <v>523</v>
      </c>
      <c r="J223" s="631"/>
      <c r="K223" s="670">
        <f>K224</f>
        <v>46140</v>
      </c>
      <c r="L223" s="671">
        <f>NETWORKDAYS(K223,M223,Data!$C$3:$C$57)</f>
        <v>59</v>
      </c>
      <c r="M223" s="670">
        <v>46224</v>
      </c>
      <c r="N223" s="121" t="s">
        <v>641</v>
      </c>
      <c r="O223" s="113"/>
      <c r="P223" s="351">
        <f>AVERAGE(P224:P233)</f>
        <v>0</v>
      </c>
      <c r="Q223" s="351">
        <f ca="1">AVERAGE(Q224:Q233)</f>
        <v>9.5238095238095229E-3</v>
      </c>
      <c r="R223" s="121"/>
      <c r="T223" s="3"/>
      <c r="U223" s="120"/>
      <c r="V223" s="120"/>
      <c r="W223" s="120"/>
      <c r="X223" s="120"/>
      <c r="AB223" s="113"/>
      <c r="AC223" s="113"/>
    </row>
    <row r="224" spans="2:29" s="111" customFormat="1" ht="14.25" customHeight="1">
      <c r="B224" s="875"/>
      <c r="C224" s="877" t="s">
        <v>716</v>
      </c>
      <c r="D224" s="207"/>
      <c r="E224" s="207"/>
      <c r="F224" s="241"/>
      <c r="G224" s="242"/>
      <c r="H224" s="241"/>
      <c r="I224" s="230" t="s">
        <v>525</v>
      </c>
      <c r="J224" s="632">
        <v>-2</v>
      </c>
      <c r="K224" s="672">
        <f>WORKDAY.INTL(M133,J224,1,Data!$C$3:$C$57)</f>
        <v>46140</v>
      </c>
      <c r="L224" s="673">
        <v>25</v>
      </c>
      <c r="M224" s="672">
        <f>WORKDAY.INTL(K224,L224,1,Data!$C$3:$C$57)</f>
        <v>46176</v>
      </c>
      <c r="N224" s="121"/>
      <c r="P224" s="244">
        <v>0</v>
      </c>
      <c r="Q224" s="244">
        <f t="shared" ref="Q224:Q225" ca="1" si="16">_xlfn.LET(
  _xlpm.s,VALUE($K224),
  _xlpm.e,VALUE($M224),
  IF(OR(_xlpm.s="",_xlpm.e=""),"", IF(_xlpm.e&lt;=_xlpm.s, IF(TODAY()&gt;=_xlpm.e,1,0), MAX(0,MIN(1,(TODAY()-_xlpm.s)/(_xlpm.e-_xlpm.s)))))
)</f>
        <v>0</v>
      </c>
      <c r="R224" s="121"/>
      <c r="T224" s="123"/>
      <c r="U224" s="120"/>
      <c r="V224" s="120"/>
      <c r="W224" s="120"/>
      <c r="X224" s="120"/>
    </row>
    <row r="225" spans="2:29" s="111" customFormat="1" ht="14.25" customHeight="1">
      <c r="B225" s="875"/>
      <c r="C225" s="877" t="s">
        <v>717</v>
      </c>
      <c r="D225" s="207"/>
      <c r="E225" s="207"/>
      <c r="F225" s="241"/>
      <c r="G225" s="242"/>
      <c r="H225" s="241"/>
      <c r="I225" s="230" t="s">
        <v>525</v>
      </c>
      <c r="J225" s="632">
        <v>10</v>
      </c>
      <c r="K225" s="672">
        <f>WORKDAY.INTL(K214,J225,1,Data!$C$3:$C$57)</f>
        <v>46198</v>
      </c>
      <c r="L225" s="673">
        <v>15</v>
      </c>
      <c r="M225" s="672">
        <f>WORKDAY.INTL(K225,L225,1,Data!$C$3:$C$57)</f>
        <v>46219</v>
      </c>
      <c r="N225" s="121"/>
      <c r="P225" s="244">
        <v>0</v>
      </c>
      <c r="Q225" s="244">
        <f t="shared" ca="1" si="16"/>
        <v>0</v>
      </c>
      <c r="R225" s="121"/>
      <c r="T225" s="123"/>
      <c r="U225" s="120"/>
      <c r="V225" s="120"/>
      <c r="W225" s="120"/>
      <c r="X225" s="120"/>
    </row>
    <row r="226" spans="2:29" s="111" customFormat="1" ht="14.25" customHeight="1">
      <c r="B226" s="875"/>
      <c r="C226" s="877" t="s">
        <v>718</v>
      </c>
      <c r="D226" s="207"/>
      <c r="E226" s="207"/>
      <c r="F226" s="241"/>
      <c r="G226" s="242"/>
      <c r="H226" s="241"/>
      <c r="I226" s="230" t="s">
        <v>525</v>
      </c>
      <c r="J226" s="632"/>
      <c r="K226" s="672"/>
      <c r="L226" s="673"/>
      <c r="M226" s="672"/>
      <c r="N226" s="121"/>
      <c r="P226" s="244">
        <v>0</v>
      </c>
      <c r="Q226" s="244">
        <v>0</v>
      </c>
      <c r="R226" s="121"/>
      <c r="T226" s="123"/>
      <c r="U226" s="120"/>
      <c r="V226" s="120"/>
      <c r="W226" s="120"/>
      <c r="X226" s="120"/>
    </row>
    <row r="227" spans="2:29" s="111" customFormat="1" ht="14.15" customHeight="1">
      <c r="B227" s="875"/>
      <c r="C227" s="877" t="s">
        <v>719</v>
      </c>
      <c r="D227" s="207"/>
      <c r="E227" s="207"/>
      <c r="F227" s="241"/>
      <c r="G227" s="242"/>
      <c r="H227" s="241"/>
      <c r="I227" s="230" t="s">
        <v>525</v>
      </c>
      <c r="J227" s="632"/>
      <c r="K227" s="672">
        <v>46076</v>
      </c>
      <c r="L227" s="673">
        <v>15</v>
      </c>
      <c r="M227" s="672">
        <f>WORKDAY.INTL(K227,L227,1,Data!$C$3:$C$57)</f>
        <v>46097</v>
      </c>
      <c r="N227" s="121"/>
      <c r="P227" s="244">
        <v>0</v>
      </c>
      <c r="Q227" s="244">
        <f t="shared" ref="Q227" ca="1" si="17">_xlfn.LET(
  _xlpm.s,VALUE($K227),
  _xlpm.e,VALUE($M227),
  IF(OR(_xlpm.s="",_xlpm.e=""),"", IF(_xlpm.e&lt;=_xlpm.s, IF(TODAY()&gt;=_xlpm.e,1,0), MAX(0,MIN(1,(TODAY()-_xlpm.s)/(_xlpm.e-_xlpm.s)))))
)</f>
        <v>9.5238095238095233E-2</v>
      </c>
      <c r="R227" s="121"/>
      <c r="T227" s="123"/>
      <c r="U227" s="120"/>
      <c r="V227" s="120"/>
      <c r="W227" s="120"/>
      <c r="X227" s="120"/>
    </row>
    <row r="228" spans="2:29" s="111" customFormat="1" ht="14.25" customHeight="1">
      <c r="B228" s="875"/>
      <c r="C228" s="877" t="s">
        <v>720</v>
      </c>
      <c r="D228" s="207"/>
      <c r="E228" s="207"/>
      <c r="F228" s="241"/>
      <c r="G228" s="242"/>
      <c r="H228" s="241"/>
      <c r="I228" s="230" t="s">
        <v>525</v>
      </c>
      <c r="J228" s="632"/>
      <c r="K228" s="672"/>
      <c r="L228" s="673"/>
      <c r="M228" s="672"/>
      <c r="N228" s="121"/>
      <c r="P228" s="244">
        <v>0</v>
      </c>
      <c r="Q228" s="244">
        <v>0</v>
      </c>
      <c r="R228" s="121"/>
      <c r="T228" s="123"/>
      <c r="U228" s="120"/>
      <c r="V228" s="120"/>
      <c r="W228" s="120"/>
      <c r="X228" s="120"/>
    </row>
    <row r="229" spans="2:29" s="111" customFormat="1" ht="14.25" customHeight="1">
      <c r="B229" s="875"/>
      <c r="C229" s="877" t="s">
        <v>721</v>
      </c>
      <c r="D229" s="207"/>
      <c r="E229" s="207"/>
      <c r="F229" s="241"/>
      <c r="G229" s="242"/>
      <c r="H229" s="241"/>
      <c r="I229" s="230" t="s">
        <v>525</v>
      </c>
      <c r="J229" s="632"/>
      <c r="K229" s="672"/>
      <c r="L229" s="673"/>
      <c r="M229" s="672"/>
      <c r="N229" s="121"/>
      <c r="P229" s="244">
        <v>0</v>
      </c>
      <c r="Q229" s="244">
        <v>0</v>
      </c>
      <c r="R229" s="121"/>
      <c r="T229" s="123"/>
      <c r="U229" s="120"/>
      <c r="V229" s="120"/>
      <c r="W229" s="120"/>
      <c r="X229" s="120"/>
    </row>
    <row r="230" spans="2:29" s="111" customFormat="1" ht="14.25" customHeight="1">
      <c r="B230" s="875"/>
      <c r="C230" s="877" t="s">
        <v>722</v>
      </c>
      <c r="D230" s="207"/>
      <c r="E230" s="207"/>
      <c r="F230" s="241"/>
      <c r="G230" s="242"/>
      <c r="H230" s="241"/>
      <c r="I230" s="230" t="s">
        <v>525</v>
      </c>
      <c r="J230" s="632"/>
      <c r="K230" s="672"/>
      <c r="L230" s="673"/>
      <c r="M230" s="672"/>
      <c r="N230" s="121"/>
      <c r="P230" s="244">
        <v>0</v>
      </c>
      <c r="Q230" s="244">
        <v>0</v>
      </c>
      <c r="R230" s="121"/>
      <c r="T230" s="123"/>
      <c r="U230" s="120"/>
      <c r="V230" s="120"/>
      <c r="W230" s="120"/>
      <c r="X230" s="120"/>
    </row>
    <row r="231" spans="2:29" s="111" customFormat="1" ht="14.25" customHeight="1">
      <c r="B231" s="875"/>
      <c r="C231" s="877" t="s">
        <v>723</v>
      </c>
      <c r="D231" s="207"/>
      <c r="E231" s="207"/>
      <c r="F231" s="241"/>
      <c r="G231" s="242"/>
      <c r="H231" s="241"/>
      <c r="I231" s="230" t="s">
        <v>525</v>
      </c>
      <c r="J231" s="632"/>
      <c r="K231" s="672"/>
      <c r="L231" s="673"/>
      <c r="M231" s="672"/>
      <c r="N231" s="121"/>
      <c r="P231" s="244">
        <v>0</v>
      </c>
      <c r="Q231" s="244">
        <v>0</v>
      </c>
      <c r="R231" s="121"/>
      <c r="T231" s="123"/>
      <c r="U231" s="120"/>
      <c r="V231" s="120"/>
      <c r="W231" s="120"/>
      <c r="X231" s="120"/>
    </row>
    <row r="232" spans="2:29" s="111" customFormat="1" ht="14.25" customHeight="1">
      <c r="B232" s="875"/>
      <c r="C232" s="877" t="s">
        <v>724</v>
      </c>
      <c r="D232" s="207"/>
      <c r="E232" s="207"/>
      <c r="F232" s="241"/>
      <c r="G232" s="242"/>
      <c r="H232" s="241"/>
      <c r="I232" s="230" t="s">
        <v>525</v>
      </c>
      <c r="J232" s="632"/>
      <c r="K232" s="672"/>
      <c r="L232" s="673"/>
      <c r="M232" s="672"/>
      <c r="N232" s="121"/>
      <c r="P232" s="244">
        <v>0</v>
      </c>
      <c r="Q232" s="244">
        <v>0</v>
      </c>
      <c r="R232" s="121"/>
      <c r="T232" s="123"/>
      <c r="U232" s="120"/>
    </row>
    <row r="233" spans="2:29" s="111" customFormat="1" ht="14.25" customHeight="1">
      <c r="B233" s="875"/>
      <c r="C233" s="877" t="s">
        <v>681</v>
      </c>
      <c r="D233" s="207"/>
      <c r="E233" s="207"/>
      <c r="F233" s="241"/>
      <c r="G233" s="242"/>
      <c r="H233" s="241"/>
      <c r="I233" s="230" t="s">
        <v>525</v>
      </c>
      <c r="J233" s="632"/>
      <c r="K233" s="672"/>
      <c r="L233" s="673"/>
      <c r="M233" s="672"/>
      <c r="N233" s="121"/>
      <c r="P233" s="244">
        <v>0</v>
      </c>
      <c r="Q233" s="244">
        <v>0</v>
      </c>
      <c r="R233" s="121"/>
      <c r="T233" s="123"/>
      <c r="U233" s="120"/>
      <c r="V233" s="117"/>
      <c r="W233" s="117"/>
      <c r="X233" s="117"/>
      <c r="Y233" s="113"/>
      <c r="Z233" s="113"/>
      <c r="AA233" s="113"/>
    </row>
    <row r="234" spans="2:29" s="111" customFormat="1" ht="14.25" customHeight="1">
      <c r="B234" s="231"/>
      <c r="C234" s="207"/>
      <c r="D234" s="207"/>
      <c r="E234" s="207"/>
      <c r="F234" s="232"/>
      <c r="G234" s="232"/>
      <c r="H234" s="233"/>
      <c r="I234" s="230"/>
      <c r="J234" s="632"/>
      <c r="K234" s="674"/>
      <c r="L234" s="674"/>
      <c r="M234" s="675"/>
      <c r="N234" s="121"/>
      <c r="R234" s="121"/>
      <c r="T234" s="123"/>
      <c r="U234" s="120"/>
      <c r="V234" s="120"/>
      <c r="W234" s="120"/>
      <c r="X234" s="120"/>
    </row>
    <row r="235" spans="2:29" s="111" customFormat="1" ht="14.25" customHeight="1">
      <c r="B235" s="235">
        <v>14</v>
      </c>
      <c r="C235" s="236" t="s">
        <v>725</v>
      </c>
      <c r="D235" s="211"/>
      <c r="E235" s="211"/>
      <c r="F235" s="237"/>
      <c r="G235" s="238"/>
      <c r="H235" s="237"/>
      <c r="I235" s="212" t="s">
        <v>523</v>
      </c>
      <c r="J235" s="631"/>
      <c r="K235" s="670">
        <f>K199+30</f>
        <v>46164</v>
      </c>
      <c r="L235" s="671">
        <f>NETWORKDAYS(K235,M235,Data!$C$3:$C$57)</f>
        <v>70</v>
      </c>
      <c r="M235" s="670">
        <f>MAX(M236:M299)</f>
        <v>46265</v>
      </c>
      <c r="N235" s="121" t="s">
        <v>726</v>
      </c>
      <c r="O235" s="113"/>
      <c r="P235" s="351">
        <f>AVERAGE(P236:P299)</f>
        <v>0</v>
      </c>
      <c r="Q235" s="351">
        <f ca="1">AVERAGE(Q236:Q299)</f>
        <v>0</v>
      </c>
      <c r="R235" s="121"/>
      <c r="T235" s="3"/>
      <c r="U235" s="120"/>
      <c r="V235" s="120"/>
      <c r="W235" s="120"/>
      <c r="X235" s="120"/>
      <c r="AB235" s="113"/>
      <c r="AC235" s="113"/>
    </row>
    <row r="236" spans="2:29" s="113" customFormat="1" ht="14.25" customHeight="1">
      <c r="B236" s="239"/>
      <c r="C236" s="606" t="s">
        <v>642</v>
      </c>
      <c r="D236" s="207"/>
      <c r="E236" s="207"/>
      <c r="F236" s="241"/>
      <c r="G236" s="242"/>
      <c r="H236" s="241"/>
      <c r="I236" s="230" t="s">
        <v>525</v>
      </c>
      <c r="J236" s="632"/>
      <c r="K236" s="672">
        <f>WORKDAY.INTL(M130,J236,1,Data!$C$3:$C$57)</f>
        <v>46142</v>
      </c>
      <c r="L236" s="673">
        <v>1</v>
      </c>
      <c r="M236" s="672">
        <f>WORKDAY.INTL(K236,L236,1,Data!$C$3:$C$57)</f>
        <v>46146</v>
      </c>
      <c r="N236" s="121"/>
      <c r="O236" s="111"/>
      <c r="P236" s="244">
        <v>0</v>
      </c>
      <c r="Q236" s="244">
        <f t="shared" ref="Q236" ca="1" si="18">_xlfn.LET(
  _xlpm.s,VALUE($K236),
  _xlpm.e,VALUE($M236),
  IF(OR(_xlpm.s="",_xlpm.e=""),"", IF(_xlpm.e&lt;=_xlpm.s, IF(TODAY()&gt;=_xlpm.e,1,0), MAX(0,MIN(1,(TODAY()-_xlpm.s)/(_xlpm.e-_xlpm.s)))))
)</f>
        <v>0</v>
      </c>
      <c r="R236" s="121"/>
      <c r="S236" s="111"/>
      <c r="T236" s="122"/>
      <c r="U236" s="120"/>
      <c r="V236" s="120"/>
      <c r="W236" s="120"/>
      <c r="X236" s="120"/>
      <c r="Y236" s="111"/>
      <c r="Z236" s="111"/>
      <c r="AA236" s="111"/>
      <c r="AB236" s="111"/>
      <c r="AC236" s="111"/>
    </row>
    <row r="237" spans="2:29" s="111" customFormat="1" ht="14.25" customHeight="1">
      <c r="B237" s="239"/>
      <c r="C237" s="606" t="s">
        <v>727</v>
      </c>
      <c r="D237" s="207"/>
      <c r="E237" s="207"/>
      <c r="F237" s="241"/>
      <c r="G237" s="242"/>
      <c r="H237" s="241"/>
      <c r="I237" s="230" t="s">
        <v>525</v>
      </c>
      <c r="J237" s="632">
        <v>4</v>
      </c>
      <c r="K237" s="672"/>
      <c r="L237" s="673"/>
      <c r="M237" s="672"/>
      <c r="N237" s="121"/>
      <c r="P237" s="244">
        <v>0</v>
      </c>
      <c r="Q237" s="244">
        <v>0</v>
      </c>
      <c r="R237" s="121"/>
      <c r="T237" s="123"/>
      <c r="U237" s="120"/>
      <c r="V237" s="120"/>
      <c r="W237" s="120"/>
      <c r="X237" s="120"/>
    </row>
    <row r="238" spans="2:29" s="111" customFormat="1" ht="14.25" customHeight="1">
      <c r="B238" s="239"/>
      <c r="C238" s="606" t="s">
        <v>728</v>
      </c>
      <c r="D238" s="207"/>
      <c r="E238" s="207"/>
      <c r="F238" s="241"/>
      <c r="G238" s="242"/>
      <c r="H238" s="241"/>
      <c r="I238" s="230" t="s">
        <v>525</v>
      </c>
      <c r="J238" s="632"/>
      <c r="K238" s="672"/>
      <c r="L238" s="673"/>
      <c r="M238" s="672"/>
      <c r="N238" s="121"/>
      <c r="P238" s="244">
        <v>0</v>
      </c>
      <c r="Q238" s="244">
        <v>0</v>
      </c>
      <c r="R238" s="121"/>
      <c r="T238" s="123"/>
      <c r="U238" s="120"/>
      <c r="V238" s="120"/>
      <c r="W238" s="120"/>
      <c r="X238" s="120"/>
    </row>
    <row r="239" spans="2:29" s="111" customFormat="1" ht="14.25" customHeight="1">
      <c r="B239" s="239"/>
      <c r="C239" s="606" t="s">
        <v>729</v>
      </c>
      <c r="D239" s="207"/>
      <c r="E239" s="207"/>
      <c r="F239" s="241"/>
      <c r="G239" s="242"/>
      <c r="H239" s="241"/>
      <c r="I239" s="230" t="s">
        <v>525</v>
      </c>
      <c r="J239" s="632"/>
      <c r="K239" s="672"/>
      <c r="L239" s="673"/>
      <c r="M239" s="672"/>
      <c r="N239" s="121"/>
      <c r="P239" s="244">
        <v>0</v>
      </c>
      <c r="Q239" s="244">
        <v>0</v>
      </c>
      <c r="R239" s="121"/>
      <c r="T239" s="123"/>
      <c r="U239" s="120"/>
      <c r="V239" s="120"/>
      <c r="W239" s="120"/>
      <c r="X239" s="120"/>
    </row>
    <row r="240" spans="2:29" s="111" customFormat="1" ht="14.25" customHeight="1">
      <c r="B240" s="239"/>
      <c r="C240" s="606" t="s">
        <v>730</v>
      </c>
      <c r="D240" s="207"/>
      <c r="E240" s="207"/>
      <c r="F240" s="241"/>
      <c r="G240" s="242"/>
      <c r="H240" s="241"/>
      <c r="I240" s="230" t="s">
        <v>525</v>
      </c>
      <c r="J240" s="632"/>
      <c r="K240" s="672"/>
      <c r="L240" s="673"/>
      <c r="M240" s="672"/>
      <c r="N240" s="121"/>
      <c r="P240" s="244">
        <v>0</v>
      </c>
      <c r="Q240" s="244">
        <v>0</v>
      </c>
      <c r="R240" s="121"/>
      <c r="T240" s="123"/>
      <c r="U240" s="120"/>
      <c r="V240" s="120"/>
      <c r="W240" s="120"/>
      <c r="X240" s="120"/>
    </row>
    <row r="241" spans="2:24" s="111" customFormat="1" ht="14.25" customHeight="1">
      <c r="B241" s="239"/>
      <c r="C241" s="606" t="s">
        <v>731</v>
      </c>
      <c r="D241" s="207"/>
      <c r="E241" s="207"/>
      <c r="F241" s="241"/>
      <c r="G241" s="242"/>
      <c r="H241" s="241"/>
      <c r="I241" s="230" t="s">
        <v>525</v>
      </c>
      <c r="J241" s="632"/>
      <c r="K241" s="672"/>
      <c r="L241" s="673"/>
      <c r="M241" s="672"/>
      <c r="N241" s="121"/>
      <c r="P241" s="244">
        <v>0</v>
      </c>
      <c r="Q241" s="244">
        <v>0</v>
      </c>
      <c r="R241" s="121"/>
      <c r="T241" s="123"/>
      <c r="U241" s="120"/>
      <c r="V241" s="120"/>
      <c r="W241" s="120"/>
      <c r="X241" s="120"/>
    </row>
    <row r="242" spans="2:24" s="111" customFormat="1" ht="14.25" customHeight="1">
      <c r="B242" s="239"/>
      <c r="C242" s="606" t="s">
        <v>732</v>
      </c>
      <c r="D242" s="207"/>
      <c r="E242" s="207"/>
      <c r="F242" s="241"/>
      <c r="G242" s="242"/>
      <c r="H242" s="241"/>
      <c r="I242" s="230" t="s">
        <v>525</v>
      </c>
      <c r="J242" s="632"/>
      <c r="K242" s="672"/>
      <c r="L242" s="673"/>
      <c r="M242" s="672"/>
      <c r="N242" s="121"/>
      <c r="P242" s="244">
        <v>0</v>
      </c>
      <c r="Q242" s="244">
        <v>0</v>
      </c>
      <c r="R242" s="121"/>
      <c r="T242" s="123"/>
      <c r="U242" s="120"/>
      <c r="V242" s="120"/>
      <c r="W242" s="120"/>
      <c r="X242" s="120"/>
    </row>
    <row r="243" spans="2:24" s="111" customFormat="1" ht="14.25" customHeight="1">
      <c r="B243" s="239"/>
      <c r="C243" s="606" t="s">
        <v>733</v>
      </c>
      <c r="D243" s="207"/>
      <c r="E243" s="207"/>
      <c r="F243" s="241"/>
      <c r="G243" s="242"/>
      <c r="H243" s="241"/>
      <c r="I243" s="230" t="s">
        <v>525</v>
      </c>
      <c r="J243" s="632"/>
      <c r="K243" s="672"/>
      <c r="L243" s="673"/>
      <c r="M243" s="672"/>
      <c r="N243" s="121"/>
      <c r="P243" s="244">
        <v>0</v>
      </c>
      <c r="Q243" s="244">
        <v>0</v>
      </c>
      <c r="R243" s="121"/>
      <c r="T243" s="123"/>
      <c r="U243" s="120"/>
      <c r="V243" s="120"/>
      <c r="W243" s="120"/>
      <c r="X243" s="120"/>
    </row>
    <row r="244" spans="2:24" s="111" customFormat="1" ht="14.25" customHeight="1">
      <c r="B244" s="239"/>
      <c r="C244" s="606" t="s">
        <v>734</v>
      </c>
      <c r="D244" s="207"/>
      <c r="E244" s="207"/>
      <c r="F244" s="241"/>
      <c r="G244" s="242"/>
      <c r="H244" s="241"/>
      <c r="I244" s="230" t="s">
        <v>525</v>
      </c>
      <c r="J244" s="632"/>
      <c r="K244" s="672"/>
      <c r="L244" s="673"/>
      <c r="M244" s="672"/>
      <c r="N244" s="121"/>
      <c r="P244" s="244">
        <v>0</v>
      </c>
      <c r="Q244" s="244">
        <v>0</v>
      </c>
      <c r="R244" s="121"/>
      <c r="T244" s="123"/>
      <c r="U244" s="120"/>
      <c r="V244" s="120"/>
      <c r="W244" s="120"/>
      <c r="X244" s="120"/>
    </row>
    <row r="245" spans="2:24" s="111" customFormat="1" ht="14.25" customHeight="1">
      <c r="B245" s="239"/>
      <c r="C245" s="606" t="s">
        <v>735</v>
      </c>
      <c r="D245" s="207"/>
      <c r="E245" s="207"/>
      <c r="F245" s="241"/>
      <c r="G245" s="242"/>
      <c r="H245" s="241"/>
      <c r="I245" s="230" t="s">
        <v>525</v>
      </c>
      <c r="J245" s="632">
        <v>1</v>
      </c>
      <c r="K245" s="672">
        <f>WORKDAY.INTL(M118,J245,1,Data!$C$3:$C$57)</f>
        <v>46199</v>
      </c>
      <c r="L245" s="673">
        <v>2</v>
      </c>
      <c r="M245" s="672">
        <f>WORKDAY.INTL(K245,L245,1,Data!$C$3:$C$57)</f>
        <v>46203</v>
      </c>
      <c r="N245" s="121"/>
      <c r="P245" s="244">
        <v>0</v>
      </c>
      <c r="Q245" s="244">
        <v>0</v>
      </c>
      <c r="R245" s="121"/>
      <c r="T245" s="123"/>
      <c r="U245" s="120"/>
      <c r="V245" s="120"/>
      <c r="W245" s="120"/>
      <c r="X245" s="120"/>
    </row>
    <row r="246" spans="2:24" s="111" customFormat="1" ht="14.25" customHeight="1">
      <c r="B246" s="239"/>
      <c r="C246" s="606" t="s">
        <v>736</v>
      </c>
      <c r="D246" s="207"/>
      <c r="E246" s="207"/>
      <c r="F246" s="241"/>
      <c r="G246" s="242"/>
      <c r="H246" s="241"/>
      <c r="I246" s="230" t="s">
        <v>525</v>
      </c>
      <c r="J246" s="632"/>
      <c r="K246" s="672"/>
      <c r="L246" s="673"/>
      <c r="M246" s="672"/>
      <c r="N246" s="121"/>
      <c r="P246" s="244">
        <v>0</v>
      </c>
      <c r="Q246" s="244">
        <v>0</v>
      </c>
      <c r="R246" s="121"/>
      <c r="T246" s="123"/>
      <c r="U246" s="120"/>
      <c r="V246" s="120"/>
      <c r="W246" s="120"/>
      <c r="X246" s="120"/>
    </row>
    <row r="247" spans="2:24" s="111" customFormat="1" ht="14.25" customHeight="1">
      <c r="B247" s="239"/>
      <c r="C247" s="606" t="s">
        <v>737</v>
      </c>
      <c r="D247" s="207"/>
      <c r="E247" s="207"/>
      <c r="F247" s="241"/>
      <c r="G247" s="242"/>
      <c r="H247" s="241"/>
      <c r="I247" s="230" t="s">
        <v>525</v>
      </c>
      <c r="J247" s="632">
        <v>-2</v>
      </c>
      <c r="K247" s="672"/>
      <c r="L247" s="673"/>
      <c r="M247" s="672"/>
      <c r="N247" s="121"/>
      <c r="P247" s="244">
        <v>0</v>
      </c>
      <c r="Q247" s="244">
        <v>0</v>
      </c>
      <c r="R247" s="121"/>
      <c r="T247" s="123"/>
      <c r="U247" s="120"/>
      <c r="V247" s="120"/>
      <c r="W247" s="120"/>
      <c r="X247" s="120"/>
    </row>
    <row r="248" spans="2:24" s="111" customFormat="1" ht="14.25" customHeight="1">
      <c r="B248" s="239"/>
      <c r="C248" s="606" t="s">
        <v>738</v>
      </c>
      <c r="D248" s="207"/>
      <c r="E248" s="207"/>
      <c r="F248" s="241"/>
      <c r="G248" s="242"/>
      <c r="H248" s="241"/>
      <c r="I248" s="230" t="s">
        <v>525</v>
      </c>
      <c r="J248" s="632"/>
      <c r="K248" s="672"/>
      <c r="L248" s="673"/>
      <c r="M248" s="672"/>
      <c r="N248" s="121"/>
      <c r="P248" s="244">
        <v>0</v>
      </c>
      <c r="Q248" s="244">
        <v>0</v>
      </c>
      <c r="R248" s="121"/>
      <c r="T248" s="123"/>
      <c r="U248" s="120"/>
      <c r="V248" s="120"/>
      <c r="W248" s="120"/>
      <c r="X248" s="120"/>
    </row>
    <row r="249" spans="2:24" s="111" customFormat="1" ht="14.25" customHeight="1">
      <c r="B249" s="239"/>
      <c r="C249" s="606" t="s">
        <v>739</v>
      </c>
      <c r="D249" s="207"/>
      <c r="E249" s="207"/>
      <c r="F249" s="241"/>
      <c r="G249" s="242"/>
      <c r="H249" s="241"/>
      <c r="I249" s="230" t="s">
        <v>525</v>
      </c>
      <c r="J249" s="632"/>
      <c r="K249" s="672"/>
      <c r="L249" s="673"/>
      <c r="M249" s="672"/>
      <c r="N249" s="121"/>
      <c r="P249" s="244">
        <v>0</v>
      </c>
      <c r="Q249" s="244">
        <v>0</v>
      </c>
      <c r="R249" s="121"/>
      <c r="T249" s="123"/>
      <c r="U249" s="120"/>
      <c r="V249" s="120"/>
      <c r="W249" s="120"/>
      <c r="X249" s="120"/>
    </row>
    <row r="250" spans="2:24" s="111" customFormat="1" ht="14.25" customHeight="1">
      <c r="B250" s="239"/>
      <c r="C250" s="606" t="s">
        <v>740</v>
      </c>
      <c r="D250" s="207"/>
      <c r="E250" s="207"/>
      <c r="F250" s="241"/>
      <c r="G250" s="242"/>
      <c r="H250" s="241"/>
      <c r="I250" s="230" t="s">
        <v>525</v>
      </c>
      <c r="J250" s="632"/>
      <c r="K250" s="672"/>
      <c r="L250" s="673"/>
      <c r="M250" s="672"/>
      <c r="N250" s="121"/>
      <c r="P250" s="244">
        <v>0</v>
      </c>
      <c r="Q250" s="244">
        <v>0</v>
      </c>
      <c r="R250" s="121"/>
      <c r="T250" s="123"/>
      <c r="U250" s="120"/>
      <c r="V250" s="120"/>
      <c r="W250" s="120"/>
      <c r="X250" s="120"/>
    </row>
    <row r="251" spans="2:24" s="111" customFormat="1" ht="14.25" customHeight="1">
      <c r="B251" s="239"/>
      <c r="C251" s="606" t="s">
        <v>741</v>
      </c>
      <c r="D251" s="207"/>
      <c r="E251" s="207"/>
      <c r="F251" s="241"/>
      <c r="G251" s="242"/>
      <c r="H251" s="241"/>
      <c r="I251" s="230" t="s">
        <v>525</v>
      </c>
      <c r="J251" s="632"/>
      <c r="K251" s="672"/>
      <c r="L251" s="673"/>
      <c r="M251" s="672"/>
      <c r="N251" s="121"/>
      <c r="P251" s="244">
        <v>0</v>
      </c>
      <c r="Q251" s="244">
        <v>0</v>
      </c>
      <c r="R251" s="121"/>
      <c r="T251" s="123"/>
      <c r="U251" s="120"/>
      <c r="V251" s="120"/>
      <c r="W251" s="120"/>
      <c r="X251" s="120"/>
    </row>
    <row r="252" spans="2:24" s="111" customFormat="1" ht="14.25" customHeight="1">
      <c r="B252" s="239"/>
      <c r="C252" s="606" t="s">
        <v>742</v>
      </c>
      <c r="D252" s="207"/>
      <c r="E252" s="207"/>
      <c r="F252" s="241"/>
      <c r="G252" s="242"/>
      <c r="H252" s="241"/>
      <c r="I252" s="230" t="s">
        <v>525</v>
      </c>
      <c r="J252" s="632"/>
      <c r="K252" s="672"/>
      <c r="L252" s="673"/>
      <c r="M252" s="672"/>
      <c r="N252" s="121"/>
      <c r="P252" s="244">
        <v>0</v>
      </c>
      <c r="Q252" s="244">
        <v>0</v>
      </c>
      <c r="R252" s="121"/>
      <c r="T252" s="123"/>
      <c r="U252" s="120"/>
      <c r="V252" s="120"/>
      <c r="W252" s="120"/>
      <c r="X252" s="120"/>
    </row>
    <row r="253" spans="2:24" s="111" customFormat="1" ht="14.25" customHeight="1">
      <c r="B253" s="239"/>
      <c r="C253" s="606" t="s">
        <v>743</v>
      </c>
      <c r="D253" s="207"/>
      <c r="E253" s="207"/>
      <c r="F253" s="241"/>
      <c r="G253" s="242"/>
      <c r="H253" s="241"/>
      <c r="I253" s="230" t="s">
        <v>525</v>
      </c>
      <c r="J253" s="632"/>
      <c r="K253" s="672"/>
      <c r="L253" s="673"/>
      <c r="M253" s="672"/>
      <c r="N253" s="121"/>
      <c r="P253" s="244">
        <v>0</v>
      </c>
      <c r="Q253" s="244">
        <v>0</v>
      </c>
      <c r="R253" s="121"/>
      <c r="T253" s="123"/>
      <c r="U253" s="120"/>
      <c r="V253" s="120"/>
      <c r="W253" s="120"/>
      <c r="X253" s="120"/>
    </row>
    <row r="254" spans="2:24" s="111" customFormat="1" ht="14.25" customHeight="1">
      <c r="B254" s="239"/>
      <c r="C254" s="606" t="s">
        <v>744</v>
      </c>
      <c r="D254" s="207"/>
      <c r="E254" s="207"/>
      <c r="F254" s="241"/>
      <c r="G254" s="242"/>
      <c r="H254" s="241"/>
      <c r="I254" s="230" t="s">
        <v>525</v>
      </c>
      <c r="J254" s="632"/>
      <c r="K254" s="672"/>
      <c r="L254" s="673"/>
      <c r="M254" s="672"/>
      <c r="N254" s="121"/>
      <c r="P254" s="244">
        <v>0</v>
      </c>
      <c r="Q254" s="244">
        <v>0</v>
      </c>
      <c r="R254" s="121"/>
      <c r="T254" s="123"/>
      <c r="U254" s="120"/>
      <c r="V254" s="120"/>
      <c r="W254" s="120"/>
      <c r="X254" s="120"/>
    </row>
    <row r="255" spans="2:24" s="111" customFormat="1" ht="14.25" customHeight="1">
      <c r="B255" s="239"/>
      <c r="C255" s="606" t="s">
        <v>745</v>
      </c>
      <c r="D255" s="207"/>
      <c r="E255" s="207"/>
      <c r="F255" s="241"/>
      <c r="G255" s="242"/>
      <c r="H255" s="241"/>
      <c r="I255" s="230" t="s">
        <v>525</v>
      </c>
      <c r="J255" s="632">
        <v>1</v>
      </c>
      <c r="K255" s="672">
        <f>WORKDAY.INTL(M118,J245,1,Data!$C$3:$C$57)</f>
        <v>46199</v>
      </c>
      <c r="L255" s="673">
        <v>2</v>
      </c>
      <c r="M255" s="672">
        <f>WORKDAY.INTL(K255,L255,1,Data!$C$3:$C$57)</f>
        <v>46203</v>
      </c>
      <c r="N255" s="121"/>
      <c r="P255" s="244">
        <v>0</v>
      </c>
      <c r="Q255" s="244">
        <v>0</v>
      </c>
      <c r="R255" s="121"/>
      <c r="T255" s="123"/>
      <c r="U255" s="120"/>
      <c r="V255" s="120"/>
      <c r="W255" s="120"/>
      <c r="X255" s="120"/>
    </row>
    <row r="256" spans="2:24" s="111" customFormat="1" ht="14.25" customHeight="1">
      <c r="B256" s="239"/>
      <c r="C256" s="606" t="s">
        <v>746</v>
      </c>
      <c r="D256" s="207"/>
      <c r="E256" s="207"/>
      <c r="F256" s="241"/>
      <c r="G256" s="242"/>
      <c r="H256" s="241"/>
      <c r="I256" s="230" t="s">
        <v>525</v>
      </c>
      <c r="J256" s="632"/>
      <c r="K256" s="672"/>
      <c r="L256" s="673"/>
      <c r="M256" s="672"/>
      <c r="N256" s="121"/>
      <c r="P256" s="244">
        <v>0</v>
      </c>
      <c r="Q256" s="244">
        <v>0</v>
      </c>
      <c r="R256" s="121"/>
      <c r="T256" s="123"/>
      <c r="U256" s="120"/>
      <c r="V256" s="120"/>
      <c r="W256" s="120"/>
      <c r="X256" s="120"/>
    </row>
    <row r="257" spans="2:24" s="111" customFormat="1" ht="14.25" customHeight="1">
      <c r="B257" s="239"/>
      <c r="C257" s="606" t="s">
        <v>747</v>
      </c>
      <c r="D257" s="207"/>
      <c r="E257" s="207"/>
      <c r="F257" s="241"/>
      <c r="G257" s="242"/>
      <c r="H257" s="241"/>
      <c r="I257" s="230" t="s">
        <v>525</v>
      </c>
      <c r="J257" s="632">
        <v>-2</v>
      </c>
      <c r="K257" s="672"/>
      <c r="L257" s="673"/>
      <c r="M257" s="672"/>
      <c r="N257" s="121"/>
      <c r="P257" s="244">
        <v>0</v>
      </c>
      <c r="Q257" s="244">
        <v>0</v>
      </c>
      <c r="R257" s="121"/>
      <c r="T257" s="123"/>
      <c r="U257" s="120"/>
      <c r="V257" s="120"/>
      <c r="W257" s="120"/>
      <c r="X257" s="120"/>
    </row>
    <row r="258" spans="2:24" s="111" customFormat="1" ht="14.25" customHeight="1">
      <c r="B258" s="239"/>
      <c r="C258" s="606" t="s">
        <v>748</v>
      </c>
      <c r="D258" s="207"/>
      <c r="E258" s="207"/>
      <c r="F258" s="241"/>
      <c r="G258" s="242"/>
      <c r="H258" s="241"/>
      <c r="I258" s="230" t="s">
        <v>525</v>
      </c>
      <c r="J258" s="632"/>
      <c r="K258" s="672"/>
      <c r="L258" s="673"/>
      <c r="M258" s="672"/>
      <c r="N258" s="121"/>
      <c r="P258" s="244">
        <v>0</v>
      </c>
      <c r="Q258" s="244">
        <v>0</v>
      </c>
      <c r="R258" s="121"/>
      <c r="T258" s="123"/>
      <c r="U258" s="120"/>
      <c r="V258" s="120"/>
      <c r="W258" s="120"/>
      <c r="X258" s="120"/>
    </row>
    <row r="259" spans="2:24" s="111" customFormat="1" ht="14.25" customHeight="1">
      <c r="B259" s="239"/>
      <c r="C259" s="606" t="s">
        <v>749</v>
      </c>
      <c r="D259" s="207"/>
      <c r="E259" s="207"/>
      <c r="F259" s="241"/>
      <c r="G259" s="242"/>
      <c r="H259" s="241"/>
      <c r="I259" s="230" t="s">
        <v>525</v>
      </c>
      <c r="J259" s="632"/>
      <c r="K259" s="672"/>
      <c r="L259" s="673"/>
      <c r="M259" s="672"/>
      <c r="N259" s="121"/>
      <c r="P259" s="244">
        <v>0</v>
      </c>
      <c r="Q259" s="244">
        <v>0</v>
      </c>
      <c r="R259" s="121"/>
      <c r="T259" s="123"/>
      <c r="U259" s="120"/>
      <c r="V259" s="120"/>
      <c r="W259" s="120"/>
      <c r="X259" s="120"/>
    </row>
    <row r="260" spans="2:24" s="111" customFormat="1" ht="14.25" customHeight="1">
      <c r="B260" s="239"/>
      <c r="C260" s="606" t="s">
        <v>750</v>
      </c>
      <c r="D260" s="207"/>
      <c r="E260" s="207"/>
      <c r="F260" s="241"/>
      <c r="G260" s="242"/>
      <c r="H260" s="241"/>
      <c r="I260" s="230" t="s">
        <v>525</v>
      </c>
      <c r="J260" s="632"/>
      <c r="K260" s="672"/>
      <c r="L260" s="673"/>
      <c r="M260" s="672"/>
      <c r="N260" s="121"/>
      <c r="P260" s="244">
        <v>0</v>
      </c>
      <c r="Q260" s="244">
        <v>0</v>
      </c>
      <c r="R260" s="121"/>
      <c r="T260" s="123"/>
      <c r="U260" s="120"/>
      <c r="V260" s="120"/>
      <c r="W260" s="120"/>
      <c r="X260" s="120"/>
    </row>
    <row r="261" spans="2:24" s="111" customFormat="1" ht="14.25" customHeight="1">
      <c r="B261" s="239"/>
      <c r="C261" s="606" t="s">
        <v>751</v>
      </c>
      <c r="D261" s="207"/>
      <c r="E261" s="207"/>
      <c r="F261" s="241"/>
      <c r="G261" s="242"/>
      <c r="H261" s="241"/>
      <c r="I261" s="230" t="s">
        <v>525</v>
      </c>
      <c r="J261" s="632"/>
      <c r="K261" s="672"/>
      <c r="L261" s="673"/>
      <c r="M261" s="672"/>
      <c r="N261" s="121"/>
      <c r="P261" s="244">
        <v>0</v>
      </c>
      <c r="Q261" s="244">
        <v>0</v>
      </c>
      <c r="R261" s="121"/>
      <c r="T261" s="123"/>
      <c r="U261" s="120"/>
      <c r="V261" s="120"/>
      <c r="W261" s="120"/>
      <c r="X261" s="120"/>
    </row>
    <row r="262" spans="2:24" s="111" customFormat="1" ht="14.25" customHeight="1">
      <c r="B262" s="239"/>
      <c r="C262" s="606" t="s">
        <v>752</v>
      </c>
      <c r="D262" s="207"/>
      <c r="E262" s="207"/>
      <c r="F262" s="241"/>
      <c r="G262" s="242"/>
      <c r="H262" s="241"/>
      <c r="I262" s="230" t="s">
        <v>525</v>
      </c>
      <c r="J262" s="632"/>
      <c r="K262" s="672"/>
      <c r="L262" s="673"/>
      <c r="M262" s="672"/>
      <c r="N262" s="121"/>
      <c r="P262" s="244">
        <v>0</v>
      </c>
      <c r="Q262" s="244">
        <v>0</v>
      </c>
      <c r="R262" s="121"/>
      <c r="T262" s="123"/>
      <c r="U262" s="120"/>
      <c r="V262" s="120"/>
      <c r="W262" s="120"/>
      <c r="X262" s="120"/>
    </row>
    <row r="263" spans="2:24" s="111" customFormat="1" ht="14.25" customHeight="1">
      <c r="B263" s="239"/>
      <c r="C263" s="606" t="s">
        <v>753</v>
      </c>
      <c r="D263" s="207"/>
      <c r="E263" s="207"/>
      <c r="F263" s="241"/>
      <c r="G263" s="242"/>
      <c r="H263" s="241"/>
      <c r="I263" s="230" t="s">
        <v>525</v>
      </c>
      <c r="J263" s="632"/>
      <c r="K263" s="672"/>
      <c r="L263" s="673"/>
      <c r="M263" s="672"/>
      <c r="N263" s="121"/>
      <c r="P263" s="244">
        <v>0</v>
      </c>
      <c r="Q263" s="244">
        <v>0</v>
      </c>
      <c r="R263" s="121"/>
      <c r="T263" s="123"/>
      <c r="U263" s="120"/>
      <c r="V263" s="120"/>
      <c r="W263" s="120"/>
      <c r="X263" s="120"/>
    </row>
    <row r="264" spans="2:24" s="111" customFormat="1" ht="14.25" customHeight="1">
      <c r="B264" s="239"/>
      <c r="C264" s="606" t="s">
        <v>754</v>
      </c>
      <c r="D264" s="207"/>
      <c r="E264" s="207"/>
      <c r="F264" s="241"/>
      <c r="G264" s="242"/>
      <c r="H264" s="241"/>
      <c r="I264" s="230" t="s">
        <v>525</v>
      </c>
      <c r="J264" s="632"/>
      <c r="K264" s="672"/>
      <c r="L264" s="673"/>
      <c r="M264" s="672"/>
      <c r="N264" s="121"/>
      <c r="P264" s="244">
        <v>0</v>
      </c>
      <c r="Q264" s="244">
        <v>0</v>
      </c>
      <c r="R264" s="121"/>
      <c r="T264" s="123"/>
      <c r="U264" s="120"/>
      <c r="V264" s="120"/>
      <c r="W264" s="120"/>
      <c r="X264" s="120"/>
    </row>
    <row r="265" spans="2:24" s="111" customFormat="1" ht="14.25" customHeight="1">
      <c r="B265" s="239"/>
      <c r="C265" s="606" t="s">
        <v>755</v>
      </c>
      <c r="D265" s="207"/>
      <c r="E265" s="207"/>
      <c r="F265" s="241"/>
      <c r="G265" s="242"/>
      <c r="H265" s="241"/>
      <c r="I265" s="230" t="s">
        <v>525</v>
      </c>
      <c r="J265" s="632">
        <v>1</v>
      </c>
      <c r="K265" s="672">
        <f>WORKDAY.INTL(M118,J265,1,Data!$C$3:$C$57)</f>
        <v>46199</v>
      </c>
      <c r="L265" s="673">
        <v>2</v>
      </c>
      <c r="M265" s="672">
        <f>WORKDAY.INTL(K265,L265,1,Data!$C$3:$C$57)</f>
        <v>46203</v>
      </c>
      <c r="N265" s="121"/>
      <c r="P265" s="244">
        <v>0</v>
      </c>
      <c r="Q265" s="244">
        <v>0</v>
      </c>
      <c r="R265" s="121"/>
      <c r="T265" s="123"/>
      <c r="U265" s="120"/>
      <c r="V265" s="120"/>
      <c r="W265" s="120"/>
      <c r="X265" s="120"/>
    </row>
    <row r="266" spans="2:24" s="111" customFormat="1" ht="14.25" customHeight="1">
      <c r="B266" s="239"/>
      <c r="C266" s="606" t="s">
        <v>756</v>
      </c>
      <c r="D266" s="207"/>
      <c r="E266" s="207"/>
      <c r="F266" s="241"/>
      <c r="G266" s="242"/>
      <c r="H266" s="241"/>
      <c r="I266" s="230" t="s">
        <v>525</v>
      </c>
      <c r="J266" s="632"/>
      <c r="K266" s="672"/>
      <c r="L266" s="673"/>
      <c r="M266" s="672"/>
      <c r="N266" s="121"/>
      <c r="P266" s="244">
        <v>0</v>
      </c>
      <c r="Q266" s="244">
        <v>0</v>
      </c>
      <c r="R266" s="121"/>
      <c r="T266" s="123"/>
      <c r="U266" s="120"/>
      <c r="V266" s="120"/>
      <c r="W266" s="120"/>
      <c r="X266" s="120"/>
    </row>
    <row r="267" spans="2:24" s="111" customFormat="1" ht="14.25" customHeight="1">
      <c r="B267" s="239"/>
      <c r="C267" s="606" t="s">
        <v>757</v>
      </c>
      <c r="D267" s="207"/>
      <c r="E267" s="207"/>
      <c r="F267" s="241"/>
      <c r="G267" s="242"/>
      <c r="H267" s="241"/>
      <c r="I267" s="230" t="s">
        <v>525</v>
      </c>
      <c r="J267" s="632">
        <v>-21</v>
      </c>
      <c r="K267" s="672">
        <f>WORKDAY.INTL(M245,J267,1,Data!$C$3:$C$57)</f>
        <v>46171</v>
      </c>
      <c r="L267" s="673">
        <v>3</v>
      </c>
      <c r="M267" s="672">
        <f>WORKDAY.INTL(K267,L267,1,Data!$C$3:$C$57)</f>
        <v>46176</v>
      </c>
      <c r="N267" s="121"/>
      <c r="P267" s="244">
        <v>0</v>
      </c>
      <c r="Q267" s="244">
        <v>0</v>
      </c>
      <c r="R267" s="121"/>
      <c r="T267" s="123"/>
      <c r="U267" s="120"/>
      <c r="V267" s="120"/>
      <c r="W267" s="120"/>
      <c r="X267" s="120"/>
    </row>
    <row r="268" spans="2:24" s="111" customFormat="1" ht="14.25" customHeight="1">
      <c r="B268" s="239"/>
      <c r="C268" s="606" t="s">
        <v>758</v>
      </c>
      <c r="D268" s="207"/>
      <c r="E268" s="207"/>
      <c r="F268" s="241"/>
      <c r="G268" s="242"/>
      <c r="H268" s="241"/>
      <c r="I268" s="230" t="s">
        <v>525</v>
      </c>
      <c r="J268" s="632">
        <v>-21</v>
      </c>
      <c r="K268" s="672">
        <f>WORKDAY.INTL(M255,J268,1,Data!$C$3:$C$57)</f>
        <v>46171</v>
      </c>
      <c r="L268" s="673">
        <v>3</v>
      </c>
      <c r="M268" s="672">
        <f>WORKDAY.INTL(K268,L268,1,Data!$C$3:$C$57)</f>
        <v>46176</v>
      </c>
      <c r="N268" s="121"/>
      <c r="P268" s="244">
        <v>0</v>
      </c>
      <c r="Q268" s="244">
        <v>0</v>
      </c>
      <c r="R268" s="121"/>
      <c r="T268" s="123"/>
      <c r="U268" s="120"/>
      <c r="V268" s="120"/>
      <c r="W268" s="120"/>
      <c r="X268" s="120"/>
    </row>
    <row r="269" spans="2:24" s="111" customFormat="1" ht="14.25" customHeight="1">
      <c r="B269" s="239"/>
      <c r="C269" s="606" t="s">
        <v>759</v>
      </c>
      <c r="D269" s="207"/>
      <c r="E269" s="207"/>
      <c r="F269" s="241"/>
      <c r="G269" s="242"/>
      <c r="H269" s="241"/>
      <c r="I269" s="230" t="s">
        <v>525</v>
      </c>
      <c r="J269" s="632">
        <v>-21</v>
      </c>
      <c r="K269" s="672">
        <f>WORKDAY.INTL(M267,J269,1,Data!$C$3:$C$57)</f>
        <v>46147</v>
      </c>
      <c r="L269" s="673">
        <v>3</v>
      </c>
      <c r="M269" s="672">
        <f>WORKDAY.INTL(K269,L269,1,Data!$C$3:$C$57)</f>
        <v>46150</v>
      </c>
      <c r="N269" s="121"/>
      <c r="P269" s="244">
        <v>0</v>
      </c>
      <c r="Q269" s="244">
        <v>0</v>
      </c>
      <c r="R269" s="121"/>
      <c r="T269" s="123"/>
      <c r="U269" s="120"/>
      <c r="V269" s="120"/>
      <c r="W269" s="120"/>
      <c r="X269" s="120"/>
    </row>
    <row r="270" spans="2:24" s="111" customFormat="1" ht="14.25" customHeight="1">
      <c r="B270" s="239"/>
      <c r="C270" s="606" t="s">
        <v>760</v>
      </c>
      <c r="D270" s="207"/>
      <c r="E270" s="207"/>
      <c r="F270" s="241"/>
      <c r="G270" s="242"/>
      <c r="H270" s="241"/>
      <c r="I270" s="230" t="s">
        <v>525</v>
      </c>
      <c r="J270" s="632">
        <v>-21</v>
      </c>
      <c r="K270" s="672">
        <f>WORKDAY.INTL(M268,J270,1,Data!$C$3:$C$57)</f>
        <v>46147</v>
      </c>
      <c r="L270" s="673">
        <v>3</v>
      </c>
      <c r="M270" s="672">
        <f>WORKDAY.INTL(K270,L270,1,Data!$C$3:$C$57)</f>
        <v>46150</v>
      </c>
      <c r="N270" s="121"/>
      <c r="P270" s="244">
        <v>0</v>
      </c>
      <c r="Q270" s="244">
        <v>0</v>
      </c>
      <c r="R270" s="121"/>
      <c r="T270" s="123"/>
      <c r="U270" s="120"/>
      <c r="V270" s="120"/>
      <c r="W270" s="120"/>
      <c r="X270" s="120"/>
    </row>
    <row r="271" spans="2:24" s="111" customFormat="1" ht="14.25" customHeight="1">
      <c r="B271" s="239"/>
      <c r="C271" s="606" t="s">
        <v>761</v>
      </c>
      <c r="D271" s="207"/>
      <c r="E271" s="207"/>
      <c r="F271" s="241"/>
      <c r="G271" s="242"/>
      <c r="H271" s="241"/>
      <c r="I271" s="230" t="s">
        <v>525</v>
      </c>
      <c r="J271" s="632">
        <v>-21</v>
      </c>
      <c r="K271" s="672">
        <f>WORKDAY.INTL(M267,J271,1,Data!$C$3:$C$57)</f>
        <v>46147</v>
      </c>
      <c r="L271" s="673">
        <v>10</v>
      </c>
      <c r="M271" s="672">
        <f>WORKDAY.INTL(K271,L271,1,Data!$C$3:$C$57)</f>
        <v>46161</v>
      </c>
      <c r="N271" s="121"/>
      <c r="P271" s="244">
        <v>0</v>
      </c>
      <c r="Q271" s="244">
        <v>0</v>
      </c>
      <c r="R271" s="121"/>
      <c r="T271" s="123"/>
      <c r="U271" s="120"/>
      <c r="V271" s="120"/>
      <c r="W271" s="120"/>
      <c r="X271" s="120"/>
    </row>
    <row r="272" spans="2:24" s="111" customFormat="1" ht="14.25" customHeight="1">
      <c r="B272" s="239"/>
      <c r="C272" s="606" t="s">
        <v>762</v>
      </c>
      <c r="D272" s="207"/>
      <c r="E272" s="207"/>
      <c r="F272" s="241"/>
      <c r="G272" s="242"/>
      <c r="H272" s="241"/>
      <c r="I272" s="230" t="s">
        <v>525</v>
      </c>
      <c r="J272" s="632">
        <v>-10</v>
      </c>
      <c r="K272" s="672">
        <f>WORKDAY.INTL(M267,J272,1,Data!$C$3:$C$57)</f>
        <v>46162</v>
      </c>
      <c r="L272" s="673">
        <v>3</v>
      </c>
      <c r="M272" s="672">
        <f>WORKDAY.INTL(K272,L272,1,Data!$C$3:$C$57)</f>
        <v>46167</v>
      </c>
      <c r="N272" s="121"/>
      <c r="P272" s="244">
        <v>0</v>
      </c>
      <c r="Q272" s="244">
        <v>0</v>
      </c>
      <c r="R272" s="121"/>
      <c r="T272" s="123"/>
      <c r="U272" s="120"/>
      <c r="V272" s="120"/>
      <c r="W272" s="120"/>
      <c r="X272" s="120"/>
    </row>
    <row r="273" spans="2:24" s="111" customFormat="1" ht="14.25" customHeight="1">
      <c r="B273" s="239"/>
      <c r="C273" s="606" t="s">
        <v>763</v>
      </c>
      <c r="D273" s="207"/>
      <c r="E273" s="207"/>
      <c r="F273" s="241"/>
      <c r="G273" s="242"/>
      <c r="H273" s="241"/>
      <c r="I273" s="230" t="s">
        <v>525</v>
      </c>
      <c r="J273" s="632"/>
      <c r="K273" s="672">
        <f>WORKDAY.INTL(M272,J273,1,Data!$C$3:$C$57)</f>
        <v>46167</v>
      </c>
      <c r="L273" s="673">
        <v>2</v>
      </c>
      <c r="M273" s="672">
        <f>WORKDAY.INTL(K273,L273,1,Data!$C$3:$C$57)</f>
        <v>46169</v>
      </c>
      <c r="N273" s="121"/>
      <c r="P273" s="244">
        <v>0</v>
      </c>
      <c r="Q273" s="244">
        <v>0</v>
      </c>
      <c r="R273" s="121"/>
      <c r="T273" s="123"/>
      <c r="U273" s="120"/>
      <c r="V273" s="120"/>
      <c r="W273" s="120"/>
      <c r="X273" s="120"/>
    </row>
    <row r="274" spans="2:24" s="111" customFormat="1" ht="14.25" customHeight="1">
      <c r="B274" s="239"/>
      <c r="C274" s="606" t="s">
        <v>764</v>
      </c>
      <c r="D274" s="207"/>
      <c r="E274" s="207"/>
      <c r="F274" s="241"/>
      <c r="G274" s="242"/>
      <c r="H274" s="241"/>
      <c r="I274" s="230" t="s">
        <v>525</v>
      </c>
      <c r="J274" s="632"/>
      <c r="K274" s="672">
        <f>WORKDAY.INTL(M273,J274,1,Data!$C$3:$C$57)</f>
        <v>46169</v>
      </c>
      <c r="L274" s="673">
        <v>2</v>
      </c>
      <c r="M274" s="672">
        <f>WORKDAY.INTL(K274,L274,1,Data!$C$3:$C$57)</f>
        <v>46171</v>
      </c>
      <c r="N274" s="121"/>
      <c r="P274" s="244">
        <v>0</v>
      </c>
      <c r="Q274" s="244">
        <v>0</v>
      </c>
      <c r="R274" s="121"/>
      <c r="T274" s="123"/>
      <c r="U274" s="120"/>
      <c r="V274" s="120"/>
      <c r="W274" s="120"/>
      <c r="X274" s="120"/>
    </row>
    <row r="275" spans="2:24" s="111" customFormat="1" ht="14.25" customHeight="1">
      <c r="B275" s="239"/>
      <c r="C275" s="606" t="s">
        <v>765</v>
      </c>
      <c r="D275" s="207"/>
      <c r="E275" s="207"/>
      <c r="F275" s="241"/>
      <c r="G275" s="242"/>
      <c r="H275" s="241"/>
      <c r="I275" s="230" t="s">
        <v>525</v>
      </c>
      <c r="J275" s="632">
        <v>-10</v>
      </c>
      <c r="K275" s="672">
        <f>WORKDAY.INTL(M274,J275,1,Data!$C$3:$C$57)</f>
        <v>46157</v>
      </c>
      <c r="L275" s="673">
        <v>3</v>
      </c>
      <c r="M275" s="672">
        <f>WORKDAY.INTL(K275,L275,1,Data!$C$3:$C$57)</f>
        <v>46162</v>
      </c>
      <c r="N275" s="121"/>
      <c r="P275" s="244">
        <v>0</v>
      </c>
      <c r="Q275" s="244">
        <v>0</v>
      </c>
      <c r="R275" s="121"/>
      <c r="T275" s="123"/>
      <c r="U275" s="120"/>
      <c r="V275" s="120"/>
      <c r="W275" s="120"/>
      <c r="X275" s="120"/>
    </row>
    <row r="276" spans="2:24" s="111" customFormat="1" ht="14.25" customHeight="1">
      <c r="B276" s="239"/>
      <c r="C276" s="606" t="s">
        <v>766</v>
      </c>
      <c r="D276" s="207"/>
      <c r="E276" s="207"/>
      <c r="F276" s="241"/>
      <c r="G276" s="242"/>
      <c r="H276" s="241"/>
      <c r="I276" s="230" t="s">
        <v>525</v>
      </c>
      <c r="J276" s="632"/>
      <c r="K276" s="672">
        <f>WORKDAY.INTL(M275,J276,1,Data!$C$3:$C$57)</f>
        <v>46162</v>
      </c>
      <c r="L276" s="673">
        <v>2</v>
      </c>
      <c r="M276" s="672">
        <f>WORKDAY.INTL(K276,L276,1,Data!$C$3:$C$57)</f>
        <v>46164</v>
      </c>
      <c r="N276" s="121"/>
      <c r="P276" s="244">
        <v>0</v>
      </c>
      <c r="Q276" s="244">
        <v>0</v>
      </c>
      <c r="R276" s="121"/>
      <c r="T276" s="123"/>
      <c r="U276" s="120"/>
      <c r="V276" s="120"/>
      <c r="W276" s="120"/>
      <c r="X276" s="120"/>
    </row>
    <row r="277" spans="2:24" s="111" customFormat="1" ht="14.25" customHeight="1">
      <c r="B277" s="239"/>
      <c r="C277" s="606" t="s">
        <v>767</v>
      </c>
      <c r="D277" s="207"/>
      <c r="E277" s="207"/>
      <c r="F277" s="241"/>
      <c r="G277" s="242"/>
      <c r="H277" s="241"/>
      <c r="I277" s="230" t="s">
        <v>525</v>
      </c>
      <c r="J277" s="632"/>
      <c r="K277" s="672">
        <f>WORKDAY.INTL(M276,J277,1,Data!$C$3:$C$57)</f>
        <v>46164</v>
      </c>
      <c r="L277" s="673">
        <v>2</v>
      </c>
      <c r="M277" s="672">
        <f>WORKDAY.INTL(K277,L277,1,Data!$C$3:$C$57)</f>
        <v>46168</v>
      </c>
      <c r="N277" s="121"/>
      <c r="P277" s="244">
        <v>0</v>
      </c>
      <c r="Q277" s="244">
        <v>0</v>
      </c>
      <c r="R277" s="121"/>
      <c r="T277" s="123"/>
      <c r="U277" s="120"/>
      <c r="V277" s="120"/>
      <c r="W277" s="120"/>
      <c r="X277" s="120"/>
    </row>
    <row r="278" spans="2:24" s="111" customFormat="1" ht="14.25" customHeight="1">
      <c r="B278" s="239"/>
      <c r="C278" s="606" t="s">
        <v>768</v>
      </c>
      <c r="D278" s="207"/>
      <c r="E278" s="207"/>
      <c r="F278" s="241"/>
      <c r="G278" s="242"/>
      <c r="H278" s="241"/>
      <c r="I278" s="230" t="s">
        <v>525</v>
      </c>
      <c r="J278" s="632">
        <v>-10</v>
      </c>
      <c r="K278" s="672">
        <f>WORKDAY.INTL(M277,J278,1,Data!$C$3:$C$57)</f>
        <v>46154</v>
      </c>
      <c r="L278" s="673">
        <v>3</v>
      </c>
      <c r="M278" s="672">
        <f>WORKDAY.INTL(K278,L278,1,Data!$C$3:$C$57)</f>
        <v>46157</v>
      </c>
      <c r="N278" s="121"/>
      <c r="P278" s="244">
        <v>0</v>
      </c>
      <c r="Q278" s="244">
        <v>0</v>
      </c>
      <c r="R278" s="121"/>
      <c r="T278" s="123"/>
      <c r="U278" s="120"/>
      <c r="V278" s="120"/>
      <c r="W278" s="120"/>
      <c r="X278" s="120"/>
    </row>
    <row r="279" spans="2:24" s="111" customFormat="1" ht="14.25" customHeight="1">
      <c r="B279" s="239"/>
      <c r="C279" s="606" t="s">
        <v>769</v>
      </c>
      <c r="D279" s="207"/>
      <c r="E279" s="207"/>
      <c r="F279" s="241"/>
      <c r="G279" s="242"/>
      <c r="H279" s="241"/>
      <c r="I279" s="230" t="s">
        <v>525</v>
      </c>
      <c r="J279" s="632"/>
      <c r="K279" s="672">
        <f>WORKDAY.INTL(M278,J279,1,Data!$C$3:$C$57)</f>
        <v>46157</v>
      </c>
      <c r="L279" s="673">
        <v>2</v>
      </c>
      <c r="M279" s="672">
        <f>WORKDAY.INTL(K279,L279,1,Data!$C$3:$C$57)</f>
        <v>46161</v>
      </c>
      <c r="N279" s="121"/>
      <c r="P279" s="244">
        <v>0</v>
      </c>
      <c r="Q279" s="244">
        <v>0</v>
      </c>
      <c r="R279" s="121"/>
      <c r="T279" s="123"/>
      <c r="U279" s="120"/>
      <c r="V279" s="120"/>
      <c r="W279" s="120"/>
      <c r="X279" s="120"/>
    </row>
    <row r="280" spans="2:24" s="111" customFormat="1" ht="14.25" customHeight="1">
      <c r="B280" s="239"/>
      <c r="C280" s="606" t="s">
        <v>770</v>
      </c>
      <c r="D280" s="207"/>
      <c r="E280" s="207"/>
      <c r="F280" s="241"/>
      <c r="G280" s="242"/>
      <c r="H280" s="241"/>
      <c r="I280" s="230" t="s">
        <v>525</v>
      </c>
      <c r="J280" s="632"/>
      <c r="K280" s="672">
        <f>WORKDAY.INTL(M279,J280,1,Data!$C$3:$C$57)</f>
        <v>46161</v>
      </c>
      <c r="L280" s="673">
        <v>2</v>
      </c>
      <c r="M280" s="672">
        <f>WORKDAY.INTL(K280,L280,1,Data!$C$3:$C$57)</f>
        <v>46163</v>
      </c>
      <c r="N280" s="121"/>
      <c r="P280" s="244">
        <v>0</v>
      </c>
      <c r="Q280" s="244">
        <v>0</v>
      </c>
      <c r="R280" s="121"/>
      <c r="T280" s="123"/>
      <c r="U280" s="120"/>
      <c r="V280" s="120"/>
      <c r="W280" s="120"/>
      <c r="X280" s="120"/>
    </row>
    <row r="281" spans="2:24" s="111" customFormat="1" ht="14.25" customHeight="1">
      <c r="B281" s="239"/>
      <c r="C281" s="606" t="s">
        <v>771</v>
      </c>
      <c r="D281" s="207"/>
      <c r="E281" s="207"/>
      <c r="F281" s="241"/>
      <c r="G281" s="242"/>
      <c r="H281" s="241"/>
      <c r="I281" s="230" t="s">
        <v>525</v>
      </c>
      <c r="J281" s="632">
        <v>-10</v>
      </c>
      <c r="K281" s="672">
        <f>WORKDAY.INTL(M280,J281,1,Data!$C$3:$C$57)</f>
        <v>46149</v>
      </c>
      <c r="L281" s="673">
        <v>3</v>
      </c>
      <c r="M281" s="672">
        <f>WORKDAY.INTL(K281,L281,1,Data!$C$3:$C$57)</f>
        <v>46154</v>
      </c>
      <c r="N281" s="121"/>
      <c r="P281" s="244">
        <v>0</v>
      </c>
      <c r="Q281" s="244">
        <v>0</v>
      </c>
      <c r="R281" s="121"/>
      <c r="T281" s="123"/>
      <c r="U281" s="120"/>
      <c r="V281" s="120"/>
      <c r="W281" s="120"/>
      <c r="X281" s="120"/>
    </row>
    <row r="282" spans="2:24" s="111" customFormat="1" ht="14.25" customHeight="1">
      <c r="B282" s="239"/>
      <c r="C282" s="606" t="s">
        <v>772</v>
      </c>
      <c r="D282" s="207"/>
      <c r="E282" s="207"/>
      <c r="F282" s="241"/>
      <c r="G282" s="242"/>
      <c r="H282" s="241"/>
      <c r="I282" s="230" t="s">
        <v>525</v>
      </c>
      <c r="J282" s="632"/>
      <c r="K282" s="672">
        <f>WORKDAY.INTL(M281,J282,1,Data!$C$3:$C$57)</f>
        <v>46154</v>
      </c>
      <c r="L282" s="673">
        <v>2</v>
      </c>
      <c r="M282" s="672">
        <f>WORKDAY.INTL(K282,L282,1,Data!$C$3:$C$57)</f>
        <v>46156</v>
      </c>
      <c r="N282" s="121"/>
      <c r="P282" s="244">
        <v>0</v>
      </c>
      <c r="Q282" s="244">
        <v>0</v>
      </c>
      <c r="R282" s="121"/>
      <c r="T282" s="123"/>
      <c r="U282" s="120"/>
      <c r="V282" s="120"/>
      <c r="W282" s="120"/>
      <c r="X282" s="120"/>
    </row>
    <row r="283" spans="2:24" s="111" customFormat="1" ht="14.25" customHeight="1">
      <c r="B283" s="239"/>
      <c r="C283" s="606" t="s">
        <v>773</v>
      </c>
      <c r="D283" s="207"/>
      <c r="E283" s="207"/>
      <c r="F283" s="241"/>
      <c r="G283" s="242"/>
      <c r="H283" s="241"/>
      <c r="I283" s="230" t="s">
        <v>525</v>
      </c>
      <c r="J283" s="632"/>
      <c r="K283" s="672">
        <f>WORKDAY.INTL(M282,J283,1,Data!$C$3:$C$57)</f>
        <v>46156</v>
      </c>
      <c r="L283" s="673">
        <v>2</v>
      </c>
      <c r="M283" s="672">
        <f>WORKDAY.INTL(K283,L283,1,Data!$C$3:$C$57)</f>
        <v>46160</v>
      </c>
      <c r="N283" s="121"/>
      <c r="P283" s="244">
        <v>0</v>
      </c>
      <c r="Q283" s="244">
        <v>0</v>
      </c>
      <c r="R283" s="121"/>
      <c r="T283" s="123"/>
      <c r="U283" s="120"/>
      <c r="V283" s="120"/>
      <c r="W283" s="120"/>
      <c r="X283" s="120"/>
    </row>
    <row r="284" spans="2:24" s="111" customFormat="1" ht="14.25" customHeight="1">
      <c r="B284" s="239"/>
      <c r="C284" s="606" t="s">
        <v>774</v>
      </c>
      <c r="D284" s="207"/>
      <c r="E284" s="207"/>
      <c r="F284" s="241"/>
      <c r="G284" s="242"/>
      <c r="H284" s="241"/>
      <c r="I284" s="230" t="s">
        <v>525</v>
      </c>
      <c r="J284" s="632">
        <v>-8</v>
      </c>
      <c r="K284" s="672">
        <f>WORKDAY.INTL(M224,J284,1,Data!$C$3:$C$57)</f>
        <v>46164</v>
      </c>
      <c r="L284" s="673">
        <v>8</v>
      </c>
      <c r="M284" s="672">
        <f>WORKDAY.INTL(K284,L284,1,Data!$C$3:$C$57)</f>
        <v>46176</v>
      </c>
      <c r="N284" s="121"/>
      <c r="P284" s="244">
        <v>0</v>
      </c>
      <c r="Q284" s="244">
        <v>0</v>
      </c>
      <c r="R284" s="121"/>
      <c r="T284" s="123"/>
      <c r="U284" s="120"/>
      <c r="V284" s="120"/>
      <c r="W284" s="120"/>
      <c r="X284" s="120"/>
    </row>
    <row r="285" spans="2:24" s="111" customFormat="1" ht="14.25" customHeight="1">
      <c r="B285" s="239"/>
      <c r="C285" s="606" t="s">
        <v>775</v>
      </c>
      <c r="D285" s="207"/>
      <c r="E285" s="207"/>
      <c r="F285" s="241"/>
      <c r="G285" s="242"/>
      <c r="H285" s="241"/>
      <c r="I285" s="230" t="s">
        <v>525</v>
      </c>
      <c r="J285" s="632"/>
      <c r="K285" s="672">
        <f>WORKDAY.INTL(M284,J285,1,Data!$C$3:$C$57)</f>
        <v>46176</v>
      </c>
      <c r="L285" s="673">
        <v>6</v>
      </c>
      <c r="M285" s="672">
        <f>WORKDAY.INTL(K285,L285,1,Data!$C$3:$C$57)</f>
        <v>46184</v>
      </c>
      <c r="N285" s="121"/>
      <c r="P285" s="244">
        <v>0</v>
      </c>
      <c r="Q285" s="244">
        <v>0</v>
      </c>
      <c r="R285" s="121"/>
      <c r="T285" s="123"/>
      <c r="U285" s="120"/>
      <c r="V285" s="120"/>
      <c r="W285" s="120"/>
      <c r="X285" s="120"/>
    </row>
    <row r="286" spans="2:24" s="111" customFormat="1" ht="14.25" customHeight="1">
      <c r="B286" s="239"/>
      <c r="C286" s="606" t="s">
        <v>776</v>
      </c>
      <c r="D286" s="207"/>
      <c r="E286" s="207"/>
      <c r="F286" s="241"/>
      <c r="G286" s="242"/>
      <c r="H286" s="241"/>
      <c r="I286" s="230" t="s">
        <v>525</v>
      </c>
      <c r="J286" s="632"/>
      <c r="K286" s="672">
        <f>WORKDAY.INTL(M285,J286,1,Data!$C$3:$C$57)</f>
        <v>46184</v>
      </c>
      <c r="L286" s="673">
        <v>4</v>
      </c>
      <c r="M286" s="672">
        <f>WORKDAY.INTL(K286,L286,1,Data!$C$3:$C$57)</f>
        <v>46191</v>
      </c>
      <c r="N286" s="121"/>
      <c r="P286" s="244">
        <v>0</v>
      </c>
      <c r="Q286" s="244">
        <v>0</v>
      </c>
      <c r="R286" s="121"/>
      <c r="T286" s="123"/>
      <c r="U286" s="120"/>
      <c r="V286" s="120"/>
      <c r="W286" s="120"/>
      <c r="X286" s="120"/>
    </row>
    <row r="287" spans="2:24" s="111" customFormat="1" ht="14.25" customHeight="1">
      <c r="B287" s="239"/>
      <c r="C287" s="606" t="s">
        <v>777</v>
      </c>
      <c r="D287" s="207"/>
      <c r="E287" s="207"/>
      <c r="F287" s="241"/>
      <c r="G287" s="242"/>
      <c r="H287" s="241"/>
      <c r="I287" s="230" t="s">
        <v>525</v>
      </c>
      <c r="J287" s="632"/>
      <c r="K287" s="672">
        <f>WORKDAY.INTL(M286,J287,1,Data!$C$3:$C$57)</f>
        <v>46191</v>
      </c>
      <c r="L287" s="673">
        <v>2</v>
      </c>
      <c r="M287" s="672">
        <f>WORKDAY.INTL(K287,L287,1,Data!$C$3:$C$57)</f>
        <v>46195</v>
      </c>
      <c r="N287" s="121"/>
      <c r="P287" s="244">
        <v>0</v>
      </c>
      <c r="Q287" s="244">
        <v>0</v>
      </c>
      <c r="R287" s="121"/>
      <c r="T287" s="123"/>
      <c r="U287" s="120"/>
      <c r="V287" s="120"/>
      <c r="W287" s="120"/>
      <c r="X287" s="120"/>
    </row>
    <row r="288" spans="2:24" s="111" customFormat="1" ht="14.25" customHeight="1">
      <c r="B288" s="239"/>
      <c r="C288" s="606" t="s">
        <v>778</v>
      </c>
      <c r="D288" s="207"/>
      <c r="E288" s="207"/>
      <c r="F288" s="241"/>
      <c r="G288" s="242"/>
      <c r="H288" s="241"/>
      <c r="I288" s="230" t="s">
        <v>525</v>
      </c>
      <c r="J288" s="632"/>
      <c r="K288" s="672">
        <f>WORKDAY.INTL(M287,J288,1,Data!$C$3:$C$57)</f>
        <v>46195</v>
      </c>
      <c r="L288" s="673">
        <v>2</v>
      </c>
      <c r="M288" s="672">
        <f>WORKDAY.INTL(K288,L288,1,Data!$C$3:$C$57)</f>
        <v>46197</v>
      </c>
      <c r="N288" s="121"/>
      <c r="P288" s="244">
        <v>0</v>
      </c>
      <c r="Q288" s="244">
        <v>0</v>
      </c>
      <c r="R288" s="121"/>
      <c r="T288" s="123"/>
      <c r="U288" s="120"/>
      <c r="V288" s="120"/>
      <c r="W288" s="120"/>
      <c r="X288" s="120"/>
    </row>
    <row r="289" spans="2:29" s="111" customFormat="1" ht="14.25" customHeight="1">
      <c r="B289" s="239"/>
      <c r="C289" s="606" t="s">
        <v>779</v>
      </c>
      <c r="D289" s="207"/>
      <c r="E289" s="207"/>
      <c r="F289" s="241"/>
      <c r="G289" s="242"/>
      <c r="H289" s="241"/>
      <c r="I289" s="230" t="s">
        <v>525</v>
      </c>
      <c r="J289" s="632"/>
      <c r="K289" s="672">
        <f>WORKDAY.INTL(M224,J289,1,Data!$C$3:$C$57)</f>
        <v>46176</v>
      </c>
      <c r="L289" s="673">
        <v>8</v>
      </c>
      <c r="M289" s="672">
        <f>WORKDAY.INTL(K289,L289,1,Data!$C$3:$C$57)</f>
        <v>46188</v>
      </c>
      <c r="N289" s="121"/>
      <c r="P289" s="244">
        <v>0</v>
      </c>
      <c r="Q289" s="244">
        <v>0</v>
      </c>
      <c r="R289" s="121"/>
      <c r="T289" s="123"/>
      <c r="U289" s="120"/>
      <c r="V289" s="120"/>
      <c r="W289" s="120"/>
      <c r="X289" s="120"/>
    </row>
    <row r="290" spans="2:29" s="111" customFormat="1" ht="14.25" customHeight="1">
      <c r="B290" s="239"/>
      <c r="C290" s="606" t="s">
        <v>780</v>
      </c>
      <c r="D290" s="207"/>
      <c r="E290" s="207"/>
      <c r="F290" s="241"/>
      <c r="G290" s="242"/>
      <c r="H290" s="241"/>
      <c r="I290" s="230" t="s">
        <v>525</v>
      </c>
      <c r="J290" s="632"/>
      <c r="K290" s="672">
        <f>WORKDAY.INTL(M289,J290,1,Data!$C$3:$C$57)</f>
        <v>46188</v>
      </c>
      <c r="L290" s="673">
        <v>8</v>
      </c>
      <c r="M290" s="672">
        <f>WORKDAY.INTL(K290,L290,1,Data!$C$3:$C$57)</f>
        <v>46199</v>
      </c>
      <c r="N290" s="121"/>
      <c r="P290" s="244">
        <v>0</v>
      </c>
      <c r="Q290" s="244">
        <v>0</v>
      </c>
      <c r="R290" s="121"/>
      <c r="T290" s="123"/>
      <c r="U290" s="120"/>
      <c r="V290" s="120"/>
      <c r="W290" s="120"/>
      <c r="X290" s="120"/>
    </row>
    <row r="291" spans="2:29" s="111" customFormat="1" ht="14.25" customHeight="1">
      <c r="B291" s="239"/>
      <c r="C291" s="606" t="s">
        <v>781</v>
      </c>
      <c r="D291" s="207"/>
      <c r="E291" s="207"/>
      <c r="F291" s="241"/>
      <c r="G291" s="242"/>
      <c r="H291" s="241"/>
      <c r="I291" s="230" t="s">
        <v>525</v>
      </c>
      <c r="J291" s="632"/>
      <c r="K291" s="672">
        <f>WORKDAY.INTL(M290,J291,1,Data!$C$3:$C$57)</f>
        <v>46199</v>
      </c>
      <c r="L291" s="673">
        <v>8</v>
      </c>
      <c r="M291" s="672">
        <f>WORKDAY.INTL(K291,L291,1,Data!$C$3:$C$57)</f>
        <v>46211</v>
      </c>
      <c r="N291" s="121"/>
      <c r="P291" s="244">
        <v>0</v>
      </c>
      <c r="Q291" s="244">
        <v>0</v>
      </c>
      <c r="R291" s="121"/>
      <c r="T291" s="123"/>
      <c r="U291" s="120"/>
      <c r="V291" s="120"/>
      <c r="W291" s="120"/>
      <c r="X291" s="120"/>
    </row>
    <row r="292" spans="2:29" s="111" customFormat="1" ht="14.25" customHeight="1">
      <c r="B292" s="239"/>
      <c r="C292" s="606" t="s">
        <v>782</v>
      </c>
      <c r="D292" s="207"/>
      <c r="E292" s="207"/>
      <c r="F292" s="241"/>
      <c r="G292" s="242"/>
      <c r="H292" s="241"/>
      <c r="I292" s="230" t="s">
        <v>525</v>
      </c>
      <c r="J292" s="632"/>
      <c r="K292" s="672">
        <f>WORKDAY.INTL(M291,J292,1,Data!$C$3:$C$57)</f>
        <v>46211</v>
      </c>
      <c r="L292" s="673">
        <v>8</v>
      </c>
      <c r="M292" s="672">
        <f>WORKDAY.INTL(K292,L292,1,Data!$C$3:$C$57)</f>
        <v>46223</v>
      </c>
      <c r="N292" s="121"/>
      <c r="P292" s="244">
        <v>0</v>
      </c>
      <c r="Q292" s="244">
        <v>0</v>
      </c>
      <c r="R292" s="121"/>
      <c r="T292" s="123"/>
      <c r="U292" s="120"/>
      <c r="V292" s="120"/>
      <c r="W292" s="120"/>
      <c r="X292" s="120"/>
    </row>
    <row r="293" spans="2:29" s="111" customFormat="1" ht="14.25" customHeight="1">
      <c r="B293" s="239"/>
      <c r="C293" s="606" t="s">
        <v>783</v>
      </c>
      <c r="D293" s="207"/>
      <c r="E293" s="207"/>
      <c r="F293" s="241"/>
      <c r="G293" s="242"/>
      <c r="H293" s="241"/>
      <c r="I293" s="230" t="s">
        <v>525</v>
      </c>
      <c r="J293" s="632"/>
      <c r="K293" s="672">
        <f>WORKDAY.INTL(M292,J293,1,Data!$C$3:$C$57)</f>
        <v>46223</v>
      </c>
      <c r="L293" s="673">
        <v>5</v>
      </c>
      <c r="M293" s="672">
        <f>WORKDAY.INTL(K293,L293,1,Data!$C$3:$C$57)</f>
        <v>46230</v>
      </c>
      <c r="N293" s="121"/>
      <c r="P293" s="244">
        <v>0</v>
      </c>
      <c r="Q293" s="244">
        <v>0</v>
      </c>
      <c r="R293" s="121"/>
      <c r="T293" s="123"/>
      <c r="U293" s="120"/>
      <c r="V293" s="120"/>
      <c r="W293" s="120"/>
      <c r="X293" s="120"/>
    </row>
    <row r="294" spans="2:29" s="111" customFormat="1" ht="14.25" customHeight="1">
      <c r="B294" s="239"/>
      <c r="C294" s="606" t="s">
        <v>784</v>
      </c>
      <c r="D294" s="207"/>
      <c r="E294" s="207"/>
      <c r="F294" s="241"/>
      <c r="G294" s="242"/>
      <c r="H294" s="241"/>
      <c r="I294" s="230" t="s">
        <v>525</v>
      </c>
      <c r="J294" s="632"/>
      <c r="K294" s="672">
        <f>WORKDAY.INTL(M293,J294,1,Data!$C$3:$C$57)</f>
        <v>46230</v>
      </c>
      <c r="L294" s="673">
        <v>2</v>
      </c>
      <c r="M294" s="672">
        <f>WORKDAY.INTL(K294,L294,1,Data!$C$3:$C$57)</f>
        <v>46232</v>
      </c>
      <c r="N294" s="121"/>
      <c r="P294" s="244">
        <v>0</v>
      </c>
      <c r="Q294" s="244">
        <v>0</v>
      </c>
      <c r="R294" s="121"/>
      <c r="T294" s="123"/>
      <c r="U294" s="120"/>
      <c r="V294" s="120"/>
      <c r="W294" s="120"/>
      <c r="X294" s="120"/>
    </row>
    <row r="295" spans="2:29" s="111" customFormat="1" ht="14.25" customHeight="1">
      <c r="B295" s="239"/>
      <c r="C295" s="606" t="s">
        <v>785</v>
      </c>
      <c r="D295" s="207"/>
      <c r="E295" s="207"/>
      <c r="F295" s="241"/>
      <c r="G295" s="242"/>
      <c r="H295" s="241"/>
      <c r="I295" s="230" t="s">
        <v>525</v>
      </c>
      <c r="J295" s="632"/>
      <c r="K295" s="672">
        <f>WORKDAY.INTL(M294,J295,1,Data!$C$3:$C$57)</f>
        <v>46232</v>
      </c>
      <c r="L295" s="673">
        <v>2</v>
      </c>
      <c r="M295" s="672">
        <f>WORKDAY.INTL(K295,L295,1,Data!$C$3:$C$57)</f>
        <v>46234</v>
      </c>
      <c r="N295" s="121"/>
      <c r="P295" s="244">
        <v>0</v>
      </c>
      <c r="Q295" s="244">
        <v>0</v>
      </c>
      <c r="R295" s="121"/>
      <c r="T295" s="123"/>
      <c r="U295" s="120"/>
      <c r="V295" s="744"/>
      <c r="W295" s="744"/>
      <c r="X295" s="744"/>
      <c r="Y295" s="24"/>
      <c r="Z295" s="24"/>
      <c r="AA295" s="24"/>
    </row>
    <row r="296" spans="2:29" s="111" customFormat="1" ht="14.25" customHeight="1">
      <c r="B296" s="714"/>
      <c r="C296" s="606" t="s">
        <v>679</v>
      </c>
      <c r="D296" s="715"/>
      <c r="E296" s="715"/>
      <c r="F296" s="592"/>
      <c r="G296" s="593"/>
      <c r="H296" s="592"/>
      <c r="I296" s="716" t="s">
        <v>525</v>
      </c>
      <c r="J296" s="717">
        <v>5</v>
      </c>
      <c r="K296" s="713">
        <f>WORKDAY.INTL(M295,J296,1,Data!$C$3:$C$57)</f>
        <v>46241</v>
      </c>
      <c r="L296" s="718">
        <v>15</v>
      </c>
      <c r="M296" s="713">
        <f>WORKDAY.INTL(K296,L296,1,Data!$C$3:$C$57)</f>
        <v>46265</v>
      </c>
      <c r="N296" s="743"/>
      <c r="O296" s="688"/>
      <c r="P296" s="689">
        <v>0</v>
      </c>
      <c r="Q296" s="689">
        <v>0</v>
      </c>
      <c r="R296" s="121"/>
      <c r="T296" s="123"/>
      <c r="U296" s="120"/>
      <c r="V296" s="120"/>
      <c r="W296" s="120"/>
      <c r="X296" s="120"/>
    </row>
    <row r="297" spans="2:29" ht="14.25" customHeight="1">
      <c r="B297" s="239"/>
      <c r="C297" s="606" t="s">
        <v>786</v>
      </c>
      <c r="D297" s="207"/>
      <c r="E297" s="207"/>
      <c r="F297" s="241"/>
      <c r="G297" s="242"/>
      <c r="H297" s="241"/>
      <c r="I297" s="230" t="s">
        <v>525</v>
      </c>
      <c r="J297" s="632"/>
      <c r="K297" s="672"/>
      <c r="L297" s="673"/>
      <c r="M297" s="672"/>
      <c r="N297" s="121"/>
      <c r="P297" s="244">
        <v>0</v>
      </c>
      <c r="Q297" s="244">
        <v>0</v>
      </c>
      <c r="R297" s="743"/>
      <c r="S297" s="24"/>
      <c r="T297" s="123"/>
      <c r="U297" s="120"/>
      <c r="V297" s="120"/>
      <c r="W297" s="120"/>
      <c r="X297" s="120"/>
      <c r="Y297" s="111"/>
      <c r="Z297" s="111"/>
      <c r="AA297" s="111"/>
    </row>
    <row r="298" spans="2:29" s="111" customFormat="1" ht="14.25" customHeight="1">
      <c r="B298" s="239"/>
      <c r="C298" s="606" t="s">
        <v>787</v>
      </c>
      <c r="D298" s="207"/>
      <c r="E298" s="207"/>
      <c r="F298" s="241"/>
      <c r="G298" s="242"/>
      <c r="H298" s="241"/>
      <c r="I298" s="230" t="s">
        <v>525</v>
      </c>
      <c r="J298" s="632"/>
      <c r="K298" s="672"/>
      <c r="L298" s="673"/>
      <c r="M298" s="672"/>
      <c r="N298" s="121"/>
      <c r="P298" s="244">
        <v>0</v>
      </c>
      <c r="Q298" s="244">
        <v>0</v>
      </c>
      <c r="R298" s="121"/>
      <c r="T298" s="123"/>
      <c r="U298" s="120"/>
      <c r="V298" s="120"/>
      <c r="W298" s="120"/>
      <c r="X298" s="120"/>
    </row>
    <row r="299" spans="2:29" s="111" customFormat="1" ht="14.25" customHeight="1">
      <c r="B299" s="239"/>
      <c r="C299" s="606" t="s">
        <v>788</v>
      </c>
      <c r="D299" s="207"/>
      <c r="E299" s="207"/>
      <c r="F299" s="241"/>
      <c r="G299" s="242"/>
      <c r="H299" s="241"/>
      <c r="I299" s="230" t="s">
        <v>525</v>
      </c>
      <c r="J299" s="632">
        <v>-5</v>
      </c>
      <c r="K299" s="672"/>
      <c r="L299" s="673"/>
      <c r="M299" s="672"/>
      <c r="N299" s="121"/>
      <c r="P299" s="244">
        <v>0</v>
      </c>
      <c r="Q299" s="244">
        <v>0</v>
      </c>
      <c r="R299" s="121"/>
      <c r="T299" s="123"/>
      <c r="U299" s="120"/>
      <c r="V299" s="120"/>
      <c r="W299" s="120"/>
      <c r="X299" s="120"/>
    </row>
    <row r="300" spans="2:29" s="111" customFormat="1" ht="14.25" customHeight="1">
      <c r="B300" s="231"/>
      <c r="C300" s="207"/>
      <c r="D300" s="207"/>
      <c r="E300" s="207"/>
      <c r="F300" s="232"/>
      <c r="G300" s="232"/>
      <c r="H300" s="233"/>
      <c r="I300" s="230"/>
      <c r="J300" s="632"/>
      <c r="K300" s="672"/>
      <c r="L300" s="673"/>
      <c r="M300" s="672"/>
      <c r="N300" s="121"/>
      <c r="R300" s="121"/>
      <c r="T300" s="123"/>
      <c r="U300" s="120"/>
      <c r="V300" s="24"/>
      <c r="W300" s="24"/>
      <c r="X300" s="24"/>
      <c r="Y300" s="24"/>
      <c r="Z300" s="24"/>
      <c r="AA300" s="24"/>
    </row>
    <row r="301" spans="2:29" s="111" customFormat="1" ht="14.25" customHeight="1">
      <c r="B301" s="235">
        <v>15</v>
      </c>
      <c r="C301" s="236" t="s">
        <v>48</v>
      </c>
      <c r="D301" s="211"/>
      <c r="E301" s="211"/>
      <c r="F301" s="237"/>
      <c r="G301" s="238"/>
      <c r="H301" s="237"/>
      <c r="I301" s="212" t="s">
        <v>523</v>
      </c>
      <c r="J301" s="631"/>
      <c r="K301" s="670">
        <f>M136</f>
        <v>46279</v>
      </c>
      <c r="L301" s="671">
        <f>NETWORKDAYS(K301,M301,Data!$C$3:$C$57)</f>
        <v>16</v>
      </c>
      <c r="M301" s="670">
        <f>MAX(M302:M315)</f>
        <v>46301</v>
      </c>
      <c r="N301" s="121" t="s">
        <v>144</v>
      </c>
      <c r="O301" s="113"/>
      <c r="P301" s="351">
        <f>AVERAGE(P302:P315)</f>
        <v>0</v>
      </c>
      <c r="Q301" s="351">
        <f>AVERAGE(Q302:Q315)</f>
        <v>0</v>
      </c>
      <c r="R301" s="121"/>
      <c r="T301" s="3"/>
      <c r="U301" s="120"/>
      <c r="V301" s="24"/>
      <c r="W301" s="24"/>
      <c r="X301" s="24"/>
      <c r="Y301" s="24"/>
      <c r="Z301" s="24"/>
      <c r="AA301" s="24"/>
    </row>
    <row r="302" spans="2:29" s="111" customFormat="1" ht="14.25" customHeight="1">
      <c r="B302" s="239"/>
      <c r="C302" s="234" t="s">
        <v>52</v>
      </c>
      <c r="D302" s="207"/>
      <c r="E302" s="207"/>
      <c r="F302" s="243"/>
      <c r="G302" s="242"/>
      <c r="H302" s="243"/>
      <c r="I302" s="230" t="s">
        <v>525</v>
      </c>
      <c r="J302" s="632"/>
      <c r="K302" s="672">
        <f>WORKDAY.INTL(M136,J302,1,Data!$C$3:$C$57)</f>
        <v>46279</v>
      </c>
      <c r="L302" s="673">
        <v>1</v>
      </c>
      <c r="M302" s="672">
        <f>WORKDAY.INTL(K302,L302,1,Data!$C$3:$C$57)</f>
        <v>46280</v>
      </c>
      <c r="N302" s="121"/>
      <c r="P302" s="244">
        <v>0</v>
      </c>
      <c r="Q302" s="244">
        <v>0</v>
      </c>
      <c r="R302" s="121"/>
      <c r="T302" s="123"/>
      <c r="U302" s="120"/>
      <c r="V302" s="24"/>
      <c r="W302" s="24"/>
      <c r="X302" s="24"/>
      <c r="Y302" s="24"/>
      <c r="Z302" s="24"/>
      <c r="AA302" s="24"/>
      <c r="AB302" s="24"/>
      <c r="AC302" s="24"/>
    </row>
    <row r="303" spans="2:29" ht="14.25" customHeight="1">
      <c r="B303" s="239"/>
      <c r="C303" s="234" t="s">
        <v>789</v>
      </c>
      <c r="D303" s="207"/>
      <c r="E303" s="207"/>
      <c r="F303" s="243"/>
      <c r="G303" s="242"/>
      <c r="H303" s="243"/>
      <c r="I303" s="230" t="s">
        <v>525</v>
      </c>
      <c r="J303" s="632"/>
      <c r="K303" s="672"/>
      <c r="L303" s="673">
        <v>1</v>
      </c>
      <c r="M303" s="672"/>
      <c r="N303" s="121"/>
      <c r="P303" s="244">
        <v>0</v>
      </c>
      <c r="Q303" s="244">
        <v>0</v>
      </c>
      <c r="R303" s="121"/>
      <c r="U303" s="120"/>
    </row>
    <row r="304" spans="2:29" ht="14.25" customHeight="1">
      <c r="B304" s="239"/>
      <c r="C304" s="234" t="s">
        <v>790</v>
      </c>
      <c r="D304" s="207"/>
      <c r="E304" s="207"/>
      <c r="F304" s="243"/>
      <c r="G304" s="242"/>
      <c r="H304" s="243"/>
      <c r="I304" s="230" t="s">
        <v>525</v>
      </c>
      <c r="J304" s="632"/>
      <c r="K304" s="672"/>
      <c r="L304" s="673">
        <v>2</v>
      </c>
      <c r="M304" s="672"/>
      <c r="N304" s="121"/>
      <c r="P304" s="244">
        <v>0</v>
      </c>
      <c r="Q304" s="244">
        <v>0</v>
      </c>
      <c r="R304" s="121"/>
      <c r="U304" s="120"/>
    </row>
    <row r="305" spans="2:29" ht="14.25" customHeight="1">
      <c r="B305" s="239"/>
      <c r="C305" s="234" t="s">
        <v>791</v>
      </c>
      <c r="D305" s="207"/>
      <c r="E305" s="207"/>
      <c r="F305" s="243"/>
      <c r="G305" s="242"/>
      <c r="H305" s="243"/>
      <c r="I305" s="230" t="s">
        <v>525</v>
      </c>
      <c r="J305" s="632"/>
      <c r="K305" s="672"/>
      <c r="L305" s="673">
        <v>1</v>
      </c>
      <c r="M305" s="672"/>
      <c r="N305" s="121"/>
      <c r="P305" s="244">
        <v>0</v>
      </c>
      <c r="Q305" s="244">
        <v>0</v>
      </c>
      <c r="R305" s="121"/>
      <c r="U305" s="120"/>
    </row>
    <row r="306" spans="2:29" ht="14.25" customHeight="1">
      <c r="B306" s="239"/>
      <c r="C306" s="234" t="s">
        <v>792</v>
      </c>
      <c r="D306" s="207"/>
      <c r="E306" s="207"/>
      <c r="F306" s="243"/>
      <c r="G306" s="242"/>
      <c r="H306" s="243"/>
      <c r="I306" s="230" t="s">
        <v>525</v>
      </c>
      <c r="J306" s="632"/>
      <c r="K306" s="672"/>
      <c r="L306" s="673">
        <v>1</v>
      </c>
      <c r="M306" s="672"/>
      <c r="N306" s="121"/>
      <c r="P306" s="244">
        <v>0</v>
      </c>
      <c r="Q306" s="244">
        <v>0</v>
      </c>
      <c r="R306" s="121"/>
      <c r="U306" s="120"/>
    </row>
    <row r="307" spans="2:29" ht="14.25" customHeight="1">
      <c r="B307" s="239"/>
      <c r="C307" s="234" t="s">
        <v>793</v>
      </c>
      <c r="D307" s="207"/>
      <c r="E307" s="207"/>
      <c r="F307" s="243"/>
      <c r="G307" s="242"/>
      <c r="H307" s="243"/>
      <c r="I307" s="230" t="s">
        <v>525</v>
      </c>
      <c r="J307" s="632"/>
      <c r="K307" s="672"/>
      <c r="L307" s="673">
        <v>2</v>
      </c>
      <c r="M307" s="672"/>
      <c r="N307" s="121"/>
      <c r="P307" s="244">
        <v>0</v>
      </c>
      <c r="Q307" s="244">
        <v>0</v>
      </c>
      <c r="R307" s="121"/>
      <c r="U307" s="120"/>
    </row>
    <row r="308" spans="2:29" ht="14.25" customHeight="1">
      <c r="B308" s="239"/>
      <c r="C308" s="234" t="s">
        <v>794</v>
      </c>
      <c r="D308" s="207"/>
      <c r="E308" s="207"/>
      <c r="F308" s="243"/>
      <c r="G308" s="242"/>
      <c r="H308" s="243"/>
      <c r="I308" s="230" t="s">
        <v>525</v>
      </c>
      <c r="J308" s="632"/>
      <c r="K308" s="672"/>
      <c r="L308" s="673">
        <v>3</v>
      </c>
      <c r="M308" s="672"/>
      <c r="N308" s="121"/>
      <c r="P308" s="244">
        <v>0</v>
      </c>
      <c r="Q308" s="244">
        <v>0</v>
      </c>
      <c r="R308" s="121"/>
      <c r="U308" s="120"/>
    </row>
    <row r="309" spans="2:29" ht="14.25" customHeight="1">
      <c r="B309" s="239"/>
      <c r="C309" s="234" t="s">
        <v>53</v>
      </c>
      <c r="D309" s="207"/>
      <c r="E309" s="207"/>
      <c r="F309" s="243"/>
      <c r="G309" s="242"/>
      <c r="H309" s="243"/>
      <c r="I309" s="230" t="s">
        <v>525</v>
      </c>
      <c r="J309" s="632"/>
      <c r="K309" s="672">
        <f>WORKDAY.INTL(M302,J309,1,Data!$C$3:$C$57)</f>
        <v>46280</v>
      </c>
      <c r="L309" s="673">
        <v>14</v>
      </c>
      <c r="M309" s="672">
        <f>WORKDAY.INTL(K309,L309,1,Data!$C$3:$C$57)</f>
        <v>46301</v>
      </c>
      <c r="N309" s="121"/>
      <c r="P309" s="244">
        <v>0</v>
      </c>
      <c r="Q309" s="244">
        <v>0</v>
      </c>
      <c r="R309" s="121"/>
      <c r="U309" s="120"/>
    </row>
    <row r="310" spans="2:29" ht="14.25" customHeight="1">
      <c r="B310" s="239"/>
      <c r="C310" s="234" t="s">
        <v>795</v>
      </c>
      <c r="D310" s="207"/>
      <c r="E310" s="207"/>
      <c r="F310" s="243"/>
      <c r="G310" s="242"/>
      <c r="H310" s="243"/>
      <c r="I310" s="230" t="s">
        <v>525</v>
      </c>
      <c r="J310" s="632"/>
      <c r="K310" s="672"/>
      <c r="L310" s="673">
        <v>2</v>
      </c>
      <c r="M310" s="672"/>
      <c r="N310" s="121"/>
      <c r="P310" s="244">
        <v>0</v>
      </c>
      <c r="Q310" s="244">
        <v>0</v>
      </c>
      <c r="R310" s="121"/>
      <c r="U310" s="120"/>
    </row>
    <row r="311" spans="2:29" ht="14.25" customHeight="1">
      <c r="B311" s="239"/>
      <c r="C311" s="234" t="s">
        <v>796</v>
      </c>
      <c r="D311" s="207"/>
      <c r="E311" s="207"/>
      <c r="F311" s="243"/>
      <c r="G311" s="242"/>
      <c r="H311" s="243"/>
      <c r="I311" s="230" t="s">
        <v>525</v>
      </c>
      <c r="J311" s="632"/>
      <c r="K311" s="672"/>
      <c r="L311" s="673">
        <v>1</v>
      </c>
      <c r="M311" s="672"/>
      <c r="N311" s="121"/>
      <c r="P311" s="244">
        <v>0</v>
      </c>
      <c r="Q311" s="244">
        <v>0</v>
      </c>
      <c r="R311" s="121"/>
      <c r="U311" s="120"/>
    </row>
    <row r="312" spans="2:29" ht="14.25" customHeight="1">
      <c r="B312" s="239"/>
      <c r="C312" s="234" t="s">
        <v>797</v>
      </c>
      <c r="D312" s="207"/>
      <c r="E312" s="207"/>
      <c r="F312" s="243"/>
      <c r="G312" s="242"/>
      <c r="H312" s="243"/>
      <c r="I312" s="230" t="s">
        <v>525</v>
      </c>
      <c r="J312" s="632"/>
      <c r="K312" s="672"/>
      <c r="L312" s="673">
        <v>1</v>
      </c>
      <c r="M312" s="672"/>
      <c r="N312" s="121"/>
      <c r="P312" s="244">
        <v>0</v>
      </c>
      <c r="Q312" s="244">
        <v>0</v>
      </c>
      <c r="R312" s="121"/>
      <c r="U312" s="120"/>
    </row>
    <row r="313" spans="2:29" ht="14.25" customHeight="1">
      <c r="B313" s="239"/>
      <c r="C313" s="234" t="s">
        <v>798</v>
      </c>
      <c r="D313" s="207"/>
      <c r="E313" s="207"/>
      <c r="F313" s="243"/>
      <c r="G313" s="242"/>
      <c r="H313" s="243"/>
      <c r="I313" s="230" t="s">
        <v>525</v>
      </c>
      <c r="J313" s="632"/>
      <c r="K313" s="672"/>
      <c r="L313" s="673">
        <v>1</v>
      </c>
      <c r="M313" s="672"/>
      <c r="N313" s="121"/>
      <c r="P313" s="244">
        <v>0</v>
      </c>
      <c r="Q313" s="244">
        <v>0</v>
      </c>
      <c r="R313" s="121"/>
      <c r="U313" s="120"/>
    </row>
    <row r="314" spans="2:29" ht="14.25" customHeight="1">
      <c r="B314" s="239"/>
      <c r="C314" s="234" t="s">
        <v>799</v>
      </c>
      <c r="D314" s="207"/>
      <c r="E314" s="207"/>
      <c r="F314" s="243"/>
      <c r="G314" s="242"/>
      <c r="H314" s="243"/>
      <c r="I314" s="230" t="s">
        <v>525</v>
      </c>
      <c r="J314" s="632"/>
      <c r="K314" s="672"/>
      <c r="L314" s="673">
        <v>1</v>
      </c>
      <c r="M314" s="672"/>
      <c r="N314" s="121"/>
      <c r="P314" s="244">
        <v>0</v>
      </c>
      <c r="Q314" s="244">
        <v>0</v>
      </c>
      <c r="R314" s="121"/>
      <c r="U314" s="120"/>
    </row>
    <row r="315" spans="2:29" ht="14.25" customHeight="1">
      <c r="B315" s="239"/>
      <c r="C315" s="234" t="s">
        <v>800</v>
      </c>
      <c r="D315" s="207"/>
      <c r="E315" s="207"/>
      <c r="F315" s="243"/>
      <c r="G315" s="242"/>
      <c r="H315" s="243"/>
      <c r="I315" s="230" t="s">
        <v>525</v>
      </c>
      <c r="J315" s="632"/>
      <c r="K315" s="672"/>
      <c r="L315" s="673">
        <v>1</v>
      </c>
      <c r="M315" s="672"/>
      <c r="N315" s="121"/>
      <c r="P315" s="244">
        <v>0</v>
      </c>
      <c r="Q315" s="244">
        <v>0</v>
      </c>
      <c r="R315" s="121"/>
      <c r="U315" s="120"/>
    </row>
    <row r="316" spans="2:29" ht="14.25" customHeight="1">
      <c r="B316" s="231"/>
      <c r="C316" s="207"/>
      <c r="D316" s="207"/>
      <c r="E316" s="207"/>
      <c r="F316" s="232"/>
      <c r="G316" s="232"/>
      <c r="H316" s="233"/>
      <c r="I316" s="230"/>
      <c r="J316" s="632"/>
      <c r="K316" s="674"/>
      <c r="L316" s="674"/>
      <c r="M316" s="675"/>
      <c r="N316" s="121"/>
      <c r="R316" s="121"/>
      <c r="U316" s="120"/>
      <c r="AB316" s="111"/>
      <c r="AC316" s="111"/>
    </row>
    <row r="317" spans="2:29" s="111" customFormat="1" ht="14.25" customHeight="1">
      <c r="B317" s="235">
        <v>16</v>
      </c>
      <c r="C317" s="236" t="s">
        <v>801</v>
      </c>
      <c r="D317" s="211"/>
      <c r="E317" s="211"/>
      <c r="F317" s="237"/>
      <c r="G317" s="238"/>
      <c r="H317" s="237"/>
      <c r="I317" s="212" t="s">
        <v>523</v>
      </c>
      <c r="J317" s="631"/>
      <c r="K317" s="670">
        <f>M301</f>
        <v>46301</v>
      </c>
      <c r="L317" s="671">
        <v>30</v>
      </c>
      <c r="M317" s="670">
        <f>K317+L317</f>
        <v>46331</v>
      </c>
      <c r="N317" s="121" t="s">
        <v>94</v>
      </c>
      <c r="O317" s="113"/>
      <c r="P317" s="351">
        <v>0</v>
      </c>
      <c r="Q317" s="351">
        <v>0</v>
      </c>
      <c r="R317" s="121"/>
      <c r="T317" s="3"/>
      <c r="U317" s="120"/>
      <c r="V317" s="24"/>
      <c r="W317" s="24"/>
      <c r="X317" s="24"/>
      <c r="Y317" s="24"/>
      <c r="Z317" s="24"/>
      <c r="AA317" s="24"/>
    </row>
    <row r="318" spans="2:29" s="111" customFormat="1" ht="14.25" customHeight="1">
      <c r="B318" s="239"/>
      <c r="C318" s="234" t="s">
        <v>802</v>
      </c>
      <c r="D318" s="207"/>
      <c r="E318" s="207"/>
      <c r="F318" s="243"/>
      <c r="G318" s="242"/>
      <c r="H318" s="243"/>
      <c r="I318" s="230" t="s">
        <v>525</v>
      </c>
      <c r="J318" s="632"/>
      <c r="K318" s="672"/>
      <c r="L318" s="673"/>
      <c r="M318" s="672"/>
      <c r="N318" s="121"/>
      <c r="P318" s="244">
        <v>0</v>
      </c>
      <c r="Q318" s="244">
        <v>0</v>
      </c>
      <c r="R318" s="121"/>
      <c r="T318" s="123"/>
      <c r="U318" s="120"/>
      <c r="AB318" s="24"/>
      <c r="AC318" s="24"/>
    </row>
    <row r="319" spans="2:29" s="111" customFormat="1" ht="14.25" customHeight="1">
      <c r="B319" s="239"/>
      <c r="C319" s="234" t="s">
        <v>803</v>
      </c>
      <c r="D319" s="207"/>
      <c r="E319" s="207"/>
      <c r="F319" s="243"/>
      <c r="G319" s="242"/>
      <c r="H319" s="243"/>
      <c r="I319" s="230" t="s">
        <v>525</v>
      </c>
      <c r="J319" s="632"/>
      <c r="K319" s="672"/>
      <c r="L319" s="673"/>
      <c r="M319" s="672"/>
      <c r="N319" s="121"/>
      <c r="P319" s="244">
        <v>0</v>
      </c>
      <c r="Q319" s="244">
        <v>0</v>
      </c>
      <c r="R319" s="121"/>
      <c r="T319" s="123"/>
      <c r="U319" s="120"/>
      <c r="V319" s="120"/>
      <c r="W319" s="120"/>
      <c r="X319" s="120"/>
      <c r="AB319" s="24"/>
      <c r="AC319" s="24"/>
    </row>
    <row r="320" spans="2:29" ht="14.25" customHeight="1">
      <c r="B320" s="231"/>
      <c r="C320" s="207"/>
      <c r="D320" s="207"/>
      <c r="E320" s="207"/>
      <c r="F320" s="232"/>
      <c r="G320" s="232"/>
      <c r="H320" s="233"/>
      <c r="I320" s="230"/>
      <c r="J320" s="632"/>
      <c r="K320" s="674"/>
      <c r="L320" s="674"/>
      <c r="M320" s="675"/>
      <c r="N320" s="121"/>
      <c r="R320" s="121"/>
      <c r="U320" s="120"/>
      <c r="AB320" s="111"/>
      <c r="AC320" s="111"/>
    </row>
    <row r="321" spans="1:29" s="111" customFormat="1" ht="14.25" customHeight="1">
      <c r="B321" s="235">
        <v>17</v>
      </c>
      <c r="C321" s="236" t="s">
        <v>804</v>
      </c>
      <c r="D321" s="211"/>
      <c r="E321" s="211"/>
      <c r="F321" s="237"/>
      <c r="G321" s="238"/>
      <c r="H321" s="237"/>
      <c r="I321" s="212" t="s">
        <v>523</v>
      </c>
      <c r="J321" s="631"/>
      <c r="K321" s="670">
        <f>M317</f>
        <v>46331</v>
      </c>
      <c r="L321" s="671">
        <v>365</v>
      </c>
      <c r="M321" s="670">
        <f>K321+L321</f>
        <v>46696</v>
      </c>
      <c r="N321" s="121"/>
      <c r="O321" s="113"/>
      <c r="P321" s="351">
        <f>AVERAGE(P322:P327)</f>
        <v>0</v>
      </c>
      <c r="Q321" s="351">
        <f>AVERAGE(Q322:Q327)</f>
        <v>0</v>
      </c>
      <c r="R321" s="121"/>
      <c r="T321" s="3"/>
      <c r="U321" s="120"/>
      <c r="V321" s="24"/>
      <c r="W321" s="24"/>
      <c r="X321" s="24"/>
      <c r="Y321" s="24"/>
      <c r="Z321" s="24"/>
      <c r="AA321" s="24"/>
    </row>
    <row r="322" spans="1:29" s="111" customFormat="1" ht="14.25" customHeight="1">
      <c r="B322" s="239"/>
      <c r="C322" s="234" t="s">
        <v>805</v>
      </c>
      <c r="D322" s="207"/>
      <c r="E322" s="207"/>
      <c r="F322" s="243"/>
      <c r="G322" s="242"/>
      <c r="H322" s="243"/>
      <c r="I322" s="230" t="s">
        <v>525</v>
      </c>
      <c r="J322" s="632"/>
      <c r="K322" s="672"/>
      <c r="L322" s="673"/>
      <c r="M322" s="672"/>
      <c r="N322" s="121"/>
      <c r="P322" s="244">
        <v>0</v>
      </c>
      <c r="Q322" s="244">
        <v>0</v>
      </c>
      <c r="R322" s="121"/>
      <c r="T322" s="123"/>
      <c r="U322" s="120"/>
      <c r="V322" s="24"/>
      <c r="W322" s="24"/>
      <c r="X322" s="24"/>
      <c r="Y322" s="24"/>
      <c r="Z322" s="24"/>
      <c r="AA322" s="24"/>
      <c r="AB322" s="24"/>
      <c r="AC322" s="24"/>
    </row>
    <row r="323" spans="1:29" ht="14.25" customHeight="1">
      <c r="B323" s="239"/>
      <c r="C323" s="234" t="s">
        <v>806</v>
      </c>
      <c r="D323" s="207"/>
      <c r="E323" s="207"/>
      <c r="F323" s="243"/>
      <c r="G323" s="242"/>
      <c r="H323" s="243"/>
      <c r="I323" s="230" t="s">
        <v>525</v>
      </c>
      <c r="J323" s="632"/>
      <c r="K323" s="672"/>
      <c r="L323" s="673"/>
      <c r="M323" s="672"/>
      <c r="N323" s="121"/>
      <c r="P323" s="244">
        <v>0</v>
      </c>
      <c r="Q323" s="244">
        <v>0</v>
      </c>
      <c r="R323" s="121"/>
      <c r="U323" s="120"/>
    </row>
    <row r="324" spans="1:29" ht="14.25" customHeight="1">
      <c r="B324" s="239"/>
      <c r="C324" s="234" t="s">
        <v>807</v>
      </c>
      <c r="D324" s="207"/>
      <c r="E324" s="207"/>
      <c r="F324" s="243"/>
      <c r="G324" s="242"/>
      <c r="H324" s="243"/>
      <c r="I324" s="230" t="s">
        <v>525</v>
      </c>
      <c r="J324" s="632"/>
      <c r="K324" s="672"/>
      <c r="L324" s="673"/>
      <c r="M324" s="672"/>
      <c r="N324" s="121"/>
      <c r="P324" s="244">
        <v>0</v>
      </c>
      <c r="Q324" s="244">
        <v>0</v>
      </c>
      <c r="R324" s="121"/>
      <c r="U324" s="120"/>
    </row>
    <row r="325" spans="1:29" ht="14.25" customHeight="1">
      <c r="B325" s="239"/>
      <c r="C325" s="234" t="s">
        <v>808</v>
      </c>
      <c r="D325" s="207"/>
      <c r="E325" s="207"/>
      <c r="F325" s="243"/>
      <c r="G325" s="242"/>
      <c r="H325" s="243"/>
      <c r="I325" s="230" t="s">
        <v>525</v>
      </c>
      <c r="J325" s="632"/>
      <c r="K325" s="672"/>
      <c r="L325" s="673"/>
      <c r="M325" s="672"/>
      <c r="N325" s="121"/>
      <c r="P325" s="244">
        <v>0</v>
      </c>
      <c r="Q325" s="244">
        <v>0</v>
      </c>
      <c r="R325" s="121"/>
      <c r="U325" s="120"/>
    </row>
    <row r="326" spans="1:29" ht="14.25" customHeight="1">
      <c r="B326" s="239"/>
      <c r="C326" s="234" t="s">
        <v>809</v>
      </c>
      <c r="D326" s="207"/>
      <c r="E326" s="207"/>
      <c r="F326" s="243"/>
      <c r="G326" s="242"/>
      <c r="H326" s="243"/>
      <c r="I326" s="230" t="s">
        <v>525</v>
      </c>
      <c r="J326" s="632"/>
      <c r="K326" s="672"/>
      <c r="L326" s="673"/>
      <c r="M326" s="672"/>
      <c r="N326" s="121"/>
      <c r="P326" s="244">
        <v>0</v>
      </c>
      <c r="Q326" s="244">
        <v>0</v>
      </c>
      <c r="R326" s="121"/>
      <c r="U326" s="120"/>
      <c r="V326" s="3"/>
      <c r="W326" s="3"/>
      <c r="X326" s="3"/>
      <c r="Y326" s="3"/>
      <c r="Z326" s="3"/>
      <c r="AA326" s="3"/>
    </row>
    <row r="327" spans="1:29" ht="14.25" customHeight="1">
      <c r="B327" s="239"/>
      <c r="C327" s="234" t="s">
        <v>810</v>
      </c>
      <c r="D327" s="207"/>
      <c r="E327" s="207"/>
      <c r="F327" s="243"/>
      <c r="G327" s="242"/>
      <c r="H327" s="243"/>
      <c r="I327" s="230" t="s">
        <v>525</v>
      </c>
      <c r="J327" s="632"/>
      <c r="K327" s="672"/>
      <c r="L327" s="673"/>
      <c r="M327" s="672"/>
      <c r="N327" s="121"/>
      <c r="P327" s="244">
        <v>0</v>
      </c>
      <c r="Q327" s="244">
        <v>0</v>
      </c>
      <c r="R327" s="121"/>
      <c r="U327" s="120"/>
      <c r="V327" s="111"/>
      <c r="W327" s="111"/>
      <c r="X327" s="111"/>
      <c r="Y327" s="111"/>
      <c r="Z327" s="111"/>
      <c r="AA327" s="111"/>
    </row>
    <row r="328" spans="1:29" s="3" customFormat="1" ht="14.25" customHeight="1">
      <c r="B328" s="160"/>
      <c r="F328" s="161"/>
      <c r="G328" s="108"/>
      <c r="J328" s="633"/>
      <c r="K328" s="676"/>
      <c r="L328" s="4"/>
      <c r="M328" s="676"/>
      <c r="V328" s="24"/>
      <c r="W328" s="24"/>
      <c r="X328" s="24"/>
      <c r="Y328" s="24"/>
      <c r="Z328" s="24"/>
      <c r="AA328" s="24"/>
    </row>
    <row r="329" spans="1:29" s="111" customFormat="1" ht="14.25" customHeight="1">
      <c r="B329" s="397">
        <f ca="1">TODAY()</f>
        <v>46078</v>
      </c>
      <c r="C329" s="24"/>
      <c r="F329" s="24"/>
      <c r="G329" s="159"/>
      <c r="H329" s="64"/>
      <c r="J329" s="629"/>
      <c r="K329" s="246"/>
      <c r="L329" s="156"/>
      <c r="M329" s="246"/>
      <c r="T329" s="3"/>
      <c r="V329" s="24"/>
      <c r="W329" s="24"/>
      <c r="X329" s="24"/>
      <c r="Y329" s="24"/>
      <c r="Z329" s="24"/>
      <c r="AA329" s="24"/>
    </row>
    <row r="330" spans="1:29" s="111" customFormat="1">
      <c r="A330" s="397">
        <f ca="1">TODAY()</f>
        <v>46078</v>
      </c>
      <c r="B330" s="398">
        <v>1</v>
      </c>
      <c r="C330" s="24"/>
      <c r="F330" s="24"/>
      <c r="G330" s="159"/>
      <c r="H330" s="64"/>
      <c r="J330" s="629"/>
      <c r="K330" s="246"/>
      <c r="L330" s="156"/>
      <c r="M330" s="246"/>
      <c r="T330" s="3"/>
      <c r="V330" s="24"/>
      <c r="W330" s="24"/>
      <c r="X330" s="24"/>
      <c r="Y330" s="24"/>
      <c r="Z330" s="24"/>
      <c r="AA330" s="24"/>
      <c r="AB330" s="24"/>
      <c r="AC330" s="24"/>
    </row>
    <row r="331" spans="1:29">
      <c r="A331" s="397">
        <f ca="1">TODAY()</f>
        <v>46078</v>
      </c>
      <c r="B331" s="158"/>
    </row>
    <row r="332" spans="1:29">
      <c r="A332" s="398">
        <v>0</v>
      </c>
      <c r="B332" s="158"/>
    </row>
    <row r="333" spans="1:29">
      <c r="B333" s="158"/>
    </row>
    <row r="334" spans="1:29">
      <c r="B334" s="158"/>
    </row>
    <row r="335" spans="1:29">
      <c r="B335" s="158"/>
    </row>
    <row r="336" spans="1:29">
      <c r="B336" s="158"/>
      <c r="Y336" s="111"/>
      <c r="Z336" s="111"/>
      <c r="AA336" s="111"/>
    </row>
    <row r="337" spans="2:29">
      <c r="B337" s="158"/>
      <c r="C337" s="111"/>
      <c r="F337" s="111"/>
      <c r="G337" s="111"/>
      <c r="H337" s="111"/>
      <c r="J337" s="111"/>
      <c r="K337" s="111"/>
      <c r="L337" s="111"/>
      <c r="M337" s="111"/>
      <c r="Y337" s="111"/>
      <c r="Z337" s="111"/>
      <c r="AA337" s="111"/>
    </row>
    <row r="338" spans="2:29">
      <c r="B338" s="158"/>
      <c r="C338" s="111"/>
      <c r="F338" s="111"/>
      <c r="G338" s="111"/>
      <c r="H338" s="111"/>
      <c r="J338" s="111"/>
      <c r="K338" s="111"/>
      <c r="L338" s="111"/>
      <c r="M338" s="111"/>
      <c r="Y338" s="111"/>
      <c r="Z338" s="111"/>
      <c r="AA338" s="111"/>
      <c r="AB338" s="111"/>
      <c r="AC338" s="111"/>
    </row>
    <row r="339" spans="2:29" s="111" customFormat="1">
      <c r="B339" s="158"/>
      <c r="T339" s="3"/>
      <c r="V339" s="24"/>
      <c r="W339" s="24"/>
      <c r="X339" s="24"/>
    </row>
    <row r="340" spans="2:29" s="111" customFormat="1">
      <c r="B340" s="158"/>
      <c r="T340" s="3"/>
      <c r="V340" s="24"/>
      <c r="W340" s="24"/>
      <c r="X340" s="24"/>
    </row>
    <row r="341" spans="2:29" s="111" customFormat="1">
      <c r="B341" s="158"/>
      <c r="T341" s="3"/>
      <c r="V341" s="24"/>
      <c r="W341" s="24"/>
      <c r="X341" s="24"/>
    </row>
    <row r="342" spans="2:29" s="111" customFormat="1">
      <c r="B342" s="158"/>
      <c r="T342" s="3"/>
      <c r="V342" s="24"/>
      <c r="W342" s="24"/>
      <c r="X342" s="24"/>
    </row>
    <row r="343" spans="2:29" s="111" customFormat="1">
      <c r="B343" s="158"/>
      <c r="T343" s="3"/>
      <c r="V343" s="24"/>
      <c r="W343" s="24"/>
      <c r="X343" s="24"/>
    </row>
    <row r="344" spans="2:29" s="111" customFormat="1">
      <c r="B344" s="158"/>
      <c r="T344" s="3"/>
      <c r="V344" s="24"/>
      <c r="W344" s="24"/>
      <c r="X344" s="24"/>
    </row>
    <row r="345" spans="2:29" s="111" customFormat="1">
      <c r="B345" s="158"/>
      <c r="T345" s="3"/>
      <c r="V345" s="24"/>
      <c r="W345" s="24"/>
      <c r="X345" s="24"/>
    </row>
    <row r="346" spans="2:29" s="111" customFormat="1">
      <c r="B346" s="158"/>
      <c r="T346" s="3"/>
      <c r="V346" s="24"/>
      <c r="W346" s="24"/>
      <c r="X346" s="24"/>
    </row>
    <row r="347" spans="2:29" s="111" customFormat="1">
      <c r="B347" s="158"/>
      <c r="G347" s="159"/>
      <c r="H347" s="112"/>
      <c r="J347" s="629"/>
      <c r="K347" s="246"/>
      <c r="L347" s="156"/>
      <c r="M347" s="246"/>
      <c r="T347" s="3"/>
      <c r="V347" s="24"/>
      <c r="W347" s="24"/>
      <c r="X347" s="24"/>
    </row>
    <row r="348" spans="2:29" s="111" customFormat="1">
      <c r="B348" s="158"/>
      <c r="G348" s="159"/>
      <c r="H348" s="112"/>
      <c r="J348" s="629"/>
      <c r="K348" s="246"/>
      <c r="L348" s="156"/>
      <c r="M348" s="246"/>
      <c r="T348" s="3"/>
      <c r="V348" s="24"/>
      <c r="W348" s="24"/>
      <c r="X348" s="24"/>
    </row>
    <row r="349" spans="2:29" s="111" customFormat="1">
      <c r="B349" s="158"/>
      <c r="G349" s="159"/>
      <c r="H349" s="112"/>
      <c r="J349" s="629"/>
      <c r="K349" s="246"/>
      <c r="L349" s="156"/>
      <c r="M349" s="246"/>
      <c r="T349" s="3"/>
      <c r="V349" s="24"/>
      <c r="W349" s="24"/>
      <c r="X349" s="24"/>
    </row>
    <row r="350" spans="2:29" s="111" customFormat="1">
      <c r="B350" s="158"/>
      <c r="G350" s="159"/>
      <c r="H350" s="112"/>
      <c r="J350" s="629"/>
      <c r="K350" s="246"/>
      <c r="L350" s="156"/>
      <c r="M350" s="246"/>
      <c r="T350" s="3"/>
      <c r="V350" s="24"/>
      <c r="W350" s="24"/>
      <c r="X350" s="24"/>
    </row>
    <row r="351" spans="2:29" s="111" customFormat="1">
      <c r="B351" s="158"/>
      <c r="G351" s="159"/>
      <c r="H351" s="112"/>
      <c r="J351" s="629"/>
      <c r="K351" s="246"/>
      <c r="L351" s="156"/>
      <c r="M351" s="246"/>
      <c r="T351" s="3"/>
      <c r="V351" s="24"/>
      <c r="W351" s="24"/>
      <c r="X351" s="24"/>
    </row>
    <row r="352" spans="2:29" s="111" customFormat="1">
      <c r="B352" s="158"/>
      <c r="G352" s="159"/>
      <c r="H352" s="112"/>
      <c r="J352" s="629"/>
      <c r="K352" s="246"/>
      <c r="L352" s="156"/>
      <c r="M352" s="246"/>
      <c r="T352" s="3"/>
      <c r="V352" s="24"/>
      <c r="W352" s="24"/>
      <c r="X352" s="24"/>
    </row>
    <row r="353" spans="2:24" s="111" customFormat="1">
      <c r="B353" s="158"/>
      <c r="G353" s="159"/>
      <c r="H353" s="112"/>
      <c r="J353" s="629"/>
      <c r="K353" s="246"/>
      <c r="L353" s="156"/>
      <c r="M353" s="246"/>
      <c r="T353" s="3"/>
      <c r="V353" s="24"/>
      <c r="W353" s="24"/>
      <c r="X353" s="24"/>
    </row>
    <row r="354" spans="2:24" s="111" customFormat="1">
      <c r="B354" s="158"/>
      <c r="G354" s="159"/>
      <c r="H354" s="112"/>
      <c r="J354" s="629"/>
      <c r="K354" s="246"/>
      <c r="L354" s="156"/>
      <c r="M354" s="246"/>
      <c r="T354" s="3"/>
      <c r="V354" s="24"/>
      <c r="W354" s="24"/>
      <c r="X354" s="24"/>
    </row>
    <row r="355" spans="2:24" s="111" customFormat="1">
      <c r="B355" s="158"/>
      <c r="G355" s="159"/>
      <c r="H355" s="112"/>
      <c r="J355" s="629"/>
      <c r="K355" s="246"/>
      <c r="L355" s="156"/>
      <c r="M355" s="246"/>
      <c r="T355" s="3"/>
      <c r="V355" s="24"/>
      <c r="W355" s="24"/>
      <c r="X355" s="24"/>
    </row>
    <row r="356" spans="2:24" s="111" customFormat="1">
      <c r="B356" s="158"/>
      <c r="G356" s="159"/>
      <c r="H356" s="112"/>
      <c r="J356" s="629"/>
      <c r="K356" s="246"/>
      <c r="L356" s="156"/>
      <c r="M356" s="246"/>
      <c r="T356" s="3"/>
      <c r="V356" s="24"/>
      <c r="W356" s="24"/>
      <c r="X356" s="24"/>
    </row>
    <row r="357" spans="2:24" s="111" customFormat="1">
      <c r="B357" s="158"/>
      <c r="G357" s="159"/>
      <c r="H357" s="112"/>
      <c r="J357" s="629"/>
      <c r="K357" s="246"/>
      <c r="L357" s="156"/>
      <c r="M357" s="246"/>
      <c r="T357" s="3"/>
      <c r="V357" s="24"/>
      <c r="W357" s="24"/>
      <c r="X357" s="24"/>
    </row>
    <row r="358" spans="2:24" s="111" customFormat="1">
      <c r="B358" s="158"/>
      <c r="G358" s="159"/>
      <c r="H358" s="112"/>
      <c r="J358" s="629"/>
      <c r="K358" s="246"/>
      <c r="L358" s="156"/>
      <c r="M358" s="246"/>
      <c r="T358" s="3"/>
      <c r="V358" s="24"/>
      <c r="W358" s="24"/>
      <c r="X358" s="24"/>
    </row>
    <row r="359" spans="2:24" s="111" customFormat="1">
      <c r="B359" s="158"/>
      <c r="G359" s="159"/>
      <c r="H359" s="112"/>
      <c r="J359" s="629"/>
      <c r="K359" s="246"/>
      <c r="L359" s="156"/>
      <c r="M359" s="246"/>
      <c r="T359" s="3"/>
      <c r="V359" s="24"/>
      <c r="W359" s="24"/>
      <c r="X359" s="24"/>
    </row>
    <row r="360" spans="2:24" s="111" customFormat="1">
      <c r="B360" s="158"/>
      <c r="G360" s="159"/>
      <c r="H360" s="112"/>
      <c r="J360" s="629"/>
      <c r="K360" s="246"/>
      <c r="L360" s="156"/>
      <c r="M360" s="246"/>
      <c r="T360" s="3"/>
      <c r="V360" s="24"/>
      <c r="W360" s="24"/>
      <c r="X360" s="24"/>
    </row>
    <row r="361" spans="2:24" s="111" customFormat="1">
      <c r="B361" s="158"/>
      <c r="G361" s="159"/>
      <c r="H361" s="112"/>
      <c r="J361" s="629"/>
      <c r="K361" s="246"/>
      <c r="L361" s="156"/>
      <c r="M361" s="246"/>
      <c r="T361" s="3"/>
      <c r="V361" s="24"/>
      <c r="W361" s="24"/>
      <c r="X361" s="24"/>
    </row>
    <row r="362" spans="2:24" s="111" customFormat="1">
      <c r="B362" s="158"/>
      <c r="G362" s="159"/>
      <c r="H362" s="112"/>
      <c r="J362" s="629"/>
      <c r="K362" s="246"/>
      <c r="L362" s="156"/>
      <c r="M362" s="246"/>
      <c r="T362" s="3"/>
      <c r="V362" s="24"/>
      <c r="W362" s="24"/>
      <c r="X362" s="24"/>
    </row>
    <row r="363" spans="2:24" s="111" customFormat="1">
      <c r="B363" s="158"/>
      <c r="G363" s="159"/>
      <c r="H363" s="112"/>
      <c r="J363" s="629"/>
      <c r="K363" s="246"/>
      <c r="L363" s="156"/>
      <c r="M363" s="246"/>
      <c r="T363" s="3"/>
      <c r="V363" s="24"/>
      <c r="W363" s="24"/>
      <c r="X363" s="24"/>
    </row>
    <row r="364" spans="2:24" s="111" customFormat="1">
      <c r="B364" s="158"/>
      <c r="G364" s="159"/>
      <c r="H364" s="112"/>
      <c r="J364" s="629"/>
      <c r="K364" s="246"/>
      <c r="L364" s="156"/>
      <c r="M364" s="246"/>
      <c r="T364" s="3"/>
      <c r="V364" s="24"/>
      <c r="W364" s="24"/>
      <c r="X364" s="24"/>
    </row>
    <row r="365" spans="2:24" s="111" customFormat="1">
      <c r="B365" s="158"/>
      <c r="G365" s="159"/>
      <c r="H365" s="112"/>
      <c r="J365" s="629"/>
      <c r="K365" s="246"/>
      <c r="L365" s="156"/>
      <c r="M365" s="246"/>
      <c r="T365" s="3"/>
      <c r="V365" s="24"/>
      <c r="W365" s="24"/>
      <c r="X365" s="24"/>
    </row>
    <row r="366" spans="2:24" s="111" customFormat="1">
      <c r="B366" s="158"/>
      <c r="G366" s="159"/>
      <c r="H366" s="112"/>
      <c r="J366" s="629"/>
      <c r="K366" s="246"/>
      <c r="L366" s="156"/>
      <c r="M366" s="246"/>
      <c r="T366" s="3"/>
      <c r="V366" s="24"/>
      <c r="W366" s="24"/>
      <c r="X366" s="24"/>
    </row>
    <row r="367" spans="2:24" s="111" customFormat="1">
      <c r="B367" s="158"/>
      <c r="G367" s="159"/>
      <c r="H367" s="112"/>
      <c r="J367" s="629"/>
      <c r="K367" s="246"/>
      <c r="L367" s="156"/>
      <c r="M367" s="246"/>
      <c r="T367" s="3"/>
      <c r="V367" s="24"/>
      <c r="W367" s="24"/>
      <c r="X367" s="24"/>
    </row>
    <row r="368" spans="2:24" s="111" customFormat="1">
      <c r="B368" s="158"/>
      <c r="G368" s="159"/>
      <c r="H368" s="112"/>
      <c r="J368" s="629"/>
      <c r="K368" s="246"/>
      <c r="L368" s="156"/>
      <c r="M368" s="246"/>
      <c r="T368" s="3"/>
      <c r="V368" s="24"/>
      <c r="W368" s="24"/>
      <c r="X368" s="24"/>
    </row>
    <row r="369" spans="2:24" s="111" customFormat="1">
      <c r="B369" s="158"/>
      <c r="G369" s="159"/>
      <c r="H369" s="112"/>
      <c r="J369" s="629"/>
      <c r="K369" s="246"/>
      <c r="L369" s="156"/>
      <c r="M369" s="246"/>
      <c r="T369" s="3"/>
      <c r="V369" s="24"/>
      <c r="W369" s="24"/>
      <c r="X369" s="24"/>
    </row>
    <row r="370" spans="2:24" s="111" customFormat="1">
      <c r="B370" s="158"/>
      <c r="G370" s="159"/>
      <c r="H370" s="112"/>
      <c r="J370" s="629"/>
      <c r="K370" s="246"/>
      <c r="L370" s="156"/>
      <c r="M370" s="246"/>
      <c r="T370" s="3"/>
      <c r="V370" s="24"/>
      <c r="W370" s="24"/>
      <c r="X370" s="24"/>
    </row>
    <row r="371" spans="2:24" s="111" customFormat="1">
      <c r="B371" s="158"/>
      <c r="G371" s="159"/>
      <c r="H371" s="112"/>
      <c r="J371" s="629"/>
      <c r="K371" s="246"/>
      <c r="L371" s="156"/>
      <c r="M371" s="246"/>
      <c r="T371" s="3"/>
      <c r="V371" s="24"/>
      <c r="W371" s="24"/>
      <c r="X371" s="24"/>
    </row>
    <row r="372" spans="2:24" s="111" customFormat="1">
      <c r="B372" s="158"/>
      <c r="G372" s="159"/>
      <c r="H372" s="112"/>
      <c r="J372" s="629"/>
      <c r="K372" s="246"/>
      <c r="L372" s="156"/>
      <c r="M372" s="246"/>
      <c r="T372" s="3"/>
      <c r="V372" s="24"/>
      <c r="W372" s="24"/>
      <c r="X372" s="24"/>
    </row>
    <row r="373" spans="2:24" s="111" customFormat="1">
      <c r="B373" s="158"/>
      <c r="G373" s="159"/>
      <c r="H373" s="112"/>
      <c r="J373" s="629"/>
      <c r="K373" s="246"/>
      <c r="L373" s="156"/>
      <c r="M373" s="246"/>
      <c r="T373" s="3"/>
      <c r="V373" s="24"/>
      <c r="W373" s="24"/>
      <c r="X373" s="24"/>
    </row>
    <row r="374" spans="2:24" s="111" customFormat="1">
      <c r="B374" s="158"/>
      <c r="G374" s="159"/>
      <c r="H374" s="112"/>
      <c r="J374" s="629"/>
      <c r="K374" s="246"/>
      <c r="L374" s="156"/>
      <c r="M374" s="246"/>
      <c r="T374" s="3"/>
      <c r="V374" s="24"/>
      <c r="W374" s="24"/>
      <c r="X374" s="24"/>
    </row>
    <row r="375" spans="2:24" s="111" customFormat="1">
      <c r="B375" s="158"/>
      <c r="G375" s="159"/>
      <c r="H375" s="112"/>
      <c r="J375" s="629"/>
      <c r="K375" s="246"/>
      <c r="L375" s="156"/>
      <c r="M375" s="246"/>
      <c r="T375" s="3"/>
      <c r="V375" s="24"/>
      <c r="W375" s="24"/>
      <c r="X375" s="24"/>
    </row>
    <row r="376" spans="2:24" s="111" customFormat="1">
      <c r="B376" s="158"/>
      <c r="G376" s="159"/>
      <c r="H376" s="112"/>
      <c r="J376" s="629"/>
      <c r="K376" s="246"/>
      <c r="L376" s="156"/>
      <c r="M376" s="246"/>
      <c r="T376" s="3"/>
      <c r="V376" s="24"/>
      <c r="W376" s="24"/>
      <c r="X376" s="24"/>
    </row>
    <row r="377" spans="2:24" s="111" customFormat="1">
      <c r="B377" s="158"/>
      <c r="G377" s="159"/>
      <c r="H377" s="112"/>
      <c r="J377" s="629"/>
      <c r="K377" s="246"/>
      <c r="L377" s="156"/>
      <c r="M377" s="246"/>
      <c r="T377" s="3"/>
      <c r="V377" s="24"/>
      <c r="W377" s="24"/>
      <c r="X377" s="24"/>
    </row>
    <row r="378" spans="2:24" s="111" customFormat="1">
      <c r="B378" s="158"/>
      <c r="G378" s="159"/>
      <c r="H378" s="112"/>
      <c r="J378" s="629"/>
      <c r="K378" s="246"/>
      <c r="L378" s="156"/>
      <c r="M378" s="246"/>
      <c r="T378" s="3"/>
      <c r="V378" s="24"/>
      <c r="W378" s="24"/>
      <c r="X378" s="24"/>
    </row>
    <row r="379" spans="2:24" s="111" customFormat="1">
      <c r="B379" s="158"/>
      <c r="G379" s="159"/>
      <c r="H379" s="112"/>
      <c r="J379" s="629"/>
      <c r="K379" s="246"/>
      <c r="L379" s="156"/>
      <c r="M379" s="246"/>
      <c r="T379" s="3"/>
      <c r="V379" s="24"/>
      <c r="W379" s="24"/>
      <c r="X379" s="24"/>
    </row>
    <row r="380" spans="2:24" s="111" customFormat="1">
      <c r="B380" s="158"/>
      <c r="G380" s="159"/>
      <c r="H380" s="112"/>
      <c r="J380" s="629"/>
      <c r="K380" s="246"/>
      <c r="L380" s="156"/>
      <c r="M380" s="246"/>
      <c r="T380" s="3"/>
      <c r="V380" s="24"/>
      <c r="W380" s="24"/>
      <c r="X380" s="24"/>
    </row>
    <row r="381" spans="2:24" s="111" customFormat="1">
      <c r="B381" s="158"/>
      <c r="G381" s="159"/>
      <c r="H381" s="112"/>
      <c r="J381" s="629"/>
      <c r="K381" s="246"/>
      <c r="L381" s="156"/>
      <c r="M381" s="246"/>
      <c r="T381" s="3"/>
      <c r="V381" s="24"/>
      <c r="W381" s="24"/>
      <c r="X381" s="24"/>
    </row>
    <row r="382" spans="2:24" s="111" customFormat="1">
      <c r="B382" s="158"/>
      <c r="G382" s="159"/>
      <c r="H382" s="112"/>
      <c r="J382" s="629"/>
      <c r="K382" s="246"/>
      <c r="L382" s="156"/>
      <c r="M382" s="246"/>
      <c r="T382" s="3"/>
      <c r="V382" s="24"/>
      <c r="W382" s="24"/>
      <c r="X382" s="24"/>
    </row>
    <row r="383" spans="2:24" s="111" customFormat="1">
      <c r="B383" s="158"/>
      <c r="G383" s="159"/>
      <c r="H383" s="112"/>
      <c r="J383" s="629"/>
      <c r="K383" s="246"/>
      <c r="L383" s="156"/>
      <c r="M383" s="246"/>
      <c r="T383" s="3"/>
      <c r="V383" s="24"/>
      <c r="W383" s="24"/>
      <c r="X383" s="24"/>
    </row>
    <row r="384" spans="2:24" s="111" customFormat="1">
      <c r="B384" s="158"/>
      <c r="G384" s="159"/>
      <c r="H384" s="112"/>
      <c r="J384" s="629"/>
      <c r="K384" s="246"/>
      <c r="L384" s="156"/>
      <c r="M384" s="246"/>
      <c r="T384" s="3"/>
      <c r="V384" s="24"/>
      <c r="W384" s="24"/>
      <c r="X384" s="24"/>
    </row>
    <row r="385" spans="2:24" s="111" customFormat="1">
      <c r="B385" s="158"/>
      <c r="G385" s="159"/>
      <c r="H385" s="112"/>
      <c r="J385" s="629"/>
      <c r="K385" s="246"/>
      <c r="L385" s="156"/>
      <c r="M385" s="246"/>
      <c r="T385" s="3"/>
      <c r="V385" s="24"/>
      <c r="W385" s="24"/>
      <c r="X385" s="24"/>
    </row>
    <row r="386" spans="2:24" s="111" customFormat="1">
      <c r="B386" s="158"/>
      <c r="G386" s="159"/>
      <c r="H386" s="112"/>
      <c r="J386" s="629"/>
      <c r="K386" s="246"/>
      <c r="L386" s="156"/>
      <c r="M386" s="246"/>
      <c r="T386" s="3"/>
      <c r="V386" s="24"/>
      <c r="W386" s="24"/>
      <c r="X386" s="24"/>
    </row>
    <row r="387" spans="2:24" s="111" customFormat="1">
      <c r="B387" s="158"/>
      <c r="G387" s="159"/>
      <c r="H387" s="112"/>
      <c r="J387" s="629"/>
      <c r="K387" s="246"/>
      <c r="L387" s="156"/>
      <c r="M387" s="246"/>
      <c r="T387" s="3"/>
      <c r="V387" s="24"/>
      <c r="W387" s="24"/>
      <c r="X387" s="24"/>
    </row>
    <row r="388" spans="2:24" s="111" customFormat="1">
      <c r="B388" s="158"/>
      <c r="G388" s="159"/>
      <c r="H388" s="112"/>
      <c r="J388" s="629"/>
      <c r="K388" s="246"/>
      <c r="L388" s="156"/>
      <c r="M388" s="246"/>
      <c r="T388" s="3"/>
      <c r="V388" s="24"/>
      <c r="W388" s="24"/>
      <c r="X388" s="24"/>
    </row>
    <row r="389" spans="2:24" s="111" customFormat="1">
      <c r="B389" s="158"/>
      <c r="G389" s="159"/>
      <c r="H389" s="112"/>
      <c r="J389" s="629"/>
      <c r="K389" s="246"/>
      <c r="L389" s="156"/>
      <c r="M389" s="246"/>
      <c r="T389" s="3"/>
      <c r="V389" s="24"/>
      <c r="W389" s="24"/>
      <c r="X389" s="24"/>
    </row>
    <row r="390" spans="2:24" s="111" customFormat="1">
      <c r="B390" s="158"/>
      <c r="G390" s="159"/>
      <c r="H390" s="112"/>
      <c r="J390" s="629"/>
      <c r="K390" s="246"/>
      <c r="L390" s="156"/>
      <c r="M390" s="246"/>
      <c r="T390" s="3"/>
      <c r="V390" s="24"/>
      <c r="W390" s="24"/>
      <c r="X390" s="24"/>
    </row>
    <row r="391" spans="2:24" s="111" customFormat="1">
      <c r="B391" s="158"/>
      <c r="G391" s="159"/>
      <c r="H391" s="112"/>
      <c r="J391" s="629"/>
      <c r="K391" s="246"/>
      <c r="L391" s="156"/>
      <c r="M391" s="246"/>
      <c r="T391" s="3"/>
      <c r="V391" s="24"/>
      <c r="W391" s="24"/>
      <c r="X391" s="24"/>
    </row>
    <row r="392" spans="2:24" s="111" customFormat="1">
      <c r="B392" s="158"/>
      <c r="G392" s="159"/>
      <c r="H392" s="112"/>
      <c r="J392" s="629"/>
      <c r="K392" s="246"/>
      <c r="L392" s="156"/>
      <c r="M392" s="246"/>
      <c r="T392" s="3"/>
      <c r="V392" s="24"/>
      <c r="W392" s="24"/>
      <c r="X392" s="24"/>
    </row>
    <row r="393" spans="2:24" s="111" customFormat="1">
      <c r="B393" s="158"/>
      <c r="G393" s="159"/>
      <c r="H393" s="112"/>
      <c r="J393" s="629"/>
      <c r="K393" s="246"/>
      <c r="L393" s="156"/>
      <c r="M393" s="246"/>
      <c r="T393" s="3"/>
      <c r="V393" s="24"/>
      <c r="W393" s="24"/>
      <c r="X393" s="24"/>
    </row>
    <row r="394" spans="2:24" s="111" customFormat="1">
      <c r="B394" s="158"/>
      <c r="G394" s="159"/>
      <c r="H394" s="112"/>
      <c r="J394" s="629"/>
      <c r="K394" s="246"/>
      <c r="L394" s="156"/>
      <c r="M394" s="246"/>
      <c r="T394" s="3"/>
      <c r="V394" s="24"/>
      <c r="W394" s="24"/>
      <c r="X394" s="24"/>
    </row>
    <row r="395" spans="2:24" s="111" customFormat="1">
      <c r="B395" s="158"/>
      <c r="G395" s="159"/>
      <c r="H395" s="112"/>
      <c r="J395" s="629"/>
      <c r="K395" s="246"/>
      <c r="L395" s="156"/>
      <c r="M395" s="246"/>
      <c r="T395" s="3"/>
      <c r="V395" s="24"/>
      <c r="W395" s="24"/>
      <c r="X395" s="24"/>
    </row>
    <row r="396" spans="2:24" s="111" customFormat="1">
      <c r="B396" s="158"/>
      <c r="G396" s="159"/>
      <c r="H396" s="112"/>
      <c r="J396" s="629"/>
      <c r="K396" s="246"/>
      <c r="L396" s="156"/>
      <c r="M396" s="246"/>
      <c r="T396" s="3"/>
      <c r="V396" s="24"/>
      <c r="W396" s="24"/>
      <c r="X396" s="24"/>
    </row>
    <row r="397" spans="2:24" s="111" customFormat="1">
      <c r="B397" s="158"/>
      <c r="G397" s="159"/>
      <c r="H397" s="112"/>
      <c r="J397" s="629"/>
      <c r="K397" s="246"/>
      <c r="L397" s="156"/>
      <c r="M397" s="246"/>
      <c r="T397" s="3"/>
      <c r="V397" s="24"/>
      <c r="W397" s="24"/>
      <c r="X397" s="24"/>
    </row>
    <row r="398" spans="2:24" s="111" customFormat="1">
      <c r="B398" s="158"/>
      <c r="G398" s="159"/>
      <c r="H398" s="112"/>
      <c r="J398" s="629"/>
      <c r="K398" s="246"/>
      <c r="L398" s="156"/>
      <c r="M398" s="246"/>
      <c r="T398" s="3"/>
      <c r="V398" s="24"/>
      <c r="W398" s="24"/>
      <c r="X398" s="24"/>
    </row>
    <row r="399" spans="2:24" s="111" customFormat="1">
      <c r="B399" s="158"/>
      <c r="G399" s="159"/>
      <c r="H399" s="112"/>
      <c r="J399" s="629"/>
      <c r="K399" s="246"/>
      <c r="L399" s="156"/>
      <c r="M399" s="246"/>
      <c r="T399" s="3"/>
      <c r="V399" s="24"/>
      <c r="W399" s="24"/>
      <c r="X399" s="24"/>
    </row>
    <row r="400" spans="2:24" s="111" customFormat="1">
      <c r="B400" s="158"/>
      <c r="G400" s="159"/>
      <c r="H400" s="112"/>
      <c r="J400" s="629"/>
      <c r="K400" s="246"/>
      <c r="L400" s="156"/>
      <c r="M400" s="246"/>
      <c r="T400" s="3"/>
      <c r="V400" s="24"/>
      <c r="W400" s="24"/>
      <c r="X400" s="24"/>
    </row>
    <row r="401" spans="2:24" s="111" customFormat="1">
      <c r="B401" s="158"/>
      <c r="G401" s="159"/>
      <c r="H401" s="112"/>
      <c r="J401" s="629"/>
      <c r="K401" s="246"/>
      <c r="L401" s="156"/>
      <c r="M401" s="246"/>
      <c r="T401" s="3"/>
      <c r="V401" s="24"/>
      <c r="W401" s="24"/>
      <c r="X401" s="24"/>
    </row>
    <row r="402" spans="2:24" s="111" customFormat="1">
      <c r="B402" s="158"/>
      <c r="G402" s="159"/>
      <c r="H402" s="112"/>
      <c r="J402" s="629"/>
      <c r="K402" s="246"/>
      <c r="L402" s="156"/>
      <c r="M402" s="246"/>
      <c r="T402" s="3"/>
      <c r="V402" s="24"/>
      <c r="W402" s="24"/>
      <c r="X402" s="24"/>
    </row>
    <row r="403" spans="2:24" s="111" customFormat="1">
      <c r="B403" s="158"/>
      <c r="G403" s="159"/>
      <c r="H403" s="112"/>
      <c r="J403" s="629"/>
      <c r="K403" s="246"/>
      <c r="L403" s="156"/>
      <c r="M403" s="246"/>
      <c r="T403" s="3"/>
      <c r="V403" s="24"/>
      <c r="W403" s="24"/>
      <c r="X403" s="24"/>
    </row>
    <row r="404" spans="2:24" s="111" customFormat="1">
      <c r="B404" s="158"/>
      <c r="G404" s="159"/>
      <c r="H404" s="112"/>
      <c r="J404" s="629"/>
      <c r="K404" s="246"/>
      <c r="L404" s="156"/>
      <c r="M404" s="246"/>
      <c r="T404" s="3"/>
      <c r="V404" s="24"/>
      <c r="W404" s="24"/>
      <c r="X404" s="24"/>
    </row>
    <row r="405" spans="2:24" s="111" customFormat="1">
      <c r="B405" s="158"/>
      <c r="G405" s="159"/>
      <c r="H405" s="112"/>
      <c r="J405" s="629"/>
      <c r="K405" s="246"/>
      <c r="L405" s="156"/>
      <c r="M405" s="246"/>
      <c r="T405" s="3"/>
      <c r="V405" s="24"/>
      <c r="W405" s="24"/>
      <c r="X405" s="24"/>
    </row>
    <row r="406" spans="2:24" s="111" customFormat="1">
      <c r="B406" s="158"/>
      <c r="G406" s="159"/>
      <c r="H406" s="112"/>
      <c r="J406" s="629"/>
      <c r="K406" s="246"/>
      <c r="L406" s="156"/>
      <c r="M406" s="246"/>
      <c r="T406" s="3"/>
      <c r="V406" s="24"/>
      <c r="W406" s="24"/>
      <c r="X406" s="24"/>
    </row>
    <row r="407" spans="2:24" s="111" customFormat="1">
      <c r="B407" s="158"/>
      <c r="G407" s="159"/>
      <c r="H407" s="112"/>
      <c r="J407" s="629"/>
      <c r="K407" s="246"/>
      <c r="L407" s="156"/>
      <c r="M407" s="246"/>
      <c r="T407" s="3"/>
      <c r="V407" s="24"/>
      <c r="W407" s="24"/>
      <c r="X407" s="24"/>
    </row>
    <row r="408" spans="2:24" s="111" customFormat="1">
      <c r="B408" s="158"/>
      <c r="G408" s="159"/>
      <c r="H408" s="112"/>
      <c r="J408" s="629"/>
      <c r="K408" s="246"/>
      <c r="L408" s="156"/>
      <c r="M408" s="246"/>
      <c r="T408" s="3"/>
      <c r="V408" s="24"/>
      <c r="W408" s="24"/>
      <c r="X408" s="24"/>
    </row>
    <row r="409" spans="2:24" s="111" customFormat="1">
      <c r="B409" s="158"/>
      <c r="G409" s="159"/>
      <c r="H409" s="112"/>
      <c r="J409" s="629"/>
      <c r="K409" s="246"/>
      <c r="L409" s="156"/>
      <c r="M409" s="246"/>
      <c r="T409" s="3"/>
      <c r="V409" s="24"/>
      <c r="W409" s="24"/>
      <c r="X409" s="24"/>
    </row>
    <row r="410" spans="2:24" s="111" customFormat="1">
      <c r="B410" s="158"/>
      <c r="G410" s="159"/>
      <c r="H410" s="112"/>
      <c r="J410" s="629"/>
      <c r="K410" s="246"/>
      <c r="L410" s="156"/>
      <c r="M410" s="246"/>
      <c r="T410" s="3"/>
      <c r="V410" s="24"/>
      <c r="W410" s="24"/>
      <c r="X410" s="24"/>
    </row>
    <row r="411" spans="2:24" s="111" customFormat="1">
      <c r="B411" s="158"/>
      <c r="G411" s="159"/>
      <c r="H411" s="112"/>
      <c r="J411" s="629"/>
      <c r="K411" s="246"/>
      <c r="L411" s="156"/>
      <c r="M411" s="246"/>
      <c r="T411" s="3"/>
      <c r="V411" s="24"/>
      <c r="W411" s="24"/>
      <c r="X411" s="24"/>
    </row>
    <row r="412" spans="2:24" s="111" customFormat="1">
      <c r="B412" s="158"/>
      <c r="G412" s="159"/>
      <c r="H412" s="112"/>
      <c r="J412" s="629"/>
      <c r="K412" s="246"/>
      <c r="L412" s="156"/>
      <c r="M412" s="246"/>
      <c r="T412" s="3"/>
      <c r="V412" s="24"/>
      <c r="W412" s="24"/>
      <c r="X412" s="24"/>
    </row>
    <row r="413" spans="2:24" s="111" customFormat="1">
      <c r="B413" s="158"/>
      <c r="G413" s="159"/>
      <c r="H413" s="112"/>
      <c r="J413" s="629"/>
      <c r="K413" s="246"/>
      <c r="L413" s="156"/>
      <c r="M413" s="246"/>
      <c r="T413" s="3"/>
      <c r="V413" s="24"/>
      <c r="W413" s="24"/>
      <c r="X413" s="24"/>
    </row>
    <row r="414" spans="2:24" s="111" customFormat="1">
      <c r="B414" s="158"/>
      <c r="G414" s="159"/>
      <c r="H414" s="112"/>
      <c r="J414" s="629"/>
      <c r="K414" s="246"/>
      <c r="L414" s="156"/>
      <c r="M414" s="246"/>
      <c r="T414" s="3"/>
      <c r="V414" s="24"/>
      <c r="W414" s="24"/>
      <c r="X414" s="24"/>
    </row>
    <row r="415" spans="2:24" s="111" customFormat="1">
      <c r="B415" s="158"/>
      <c r="G415" s="159"/>
      <c r="H415" s="112"/>
      <c r="J415" s="629"/>
      <c r="K415" s="246"/>
      <c r="L415" s="156"/>
      <c r="M415" s="246"/>
      <c r="T415" s="3"/>
      <c r="V415" s="24"/>
      <c r="W415" s="24"/>
      <c r="X415" s="24"/>
    </row>
    <row r="416" spans="2:24" s="111" customFormat="1">
      <c r="B416" s="158"/>
      <c r="G416" s="159"/>
      <c r="H416" s="112"/>
      <c r="J416" s="629"/>
      <c r="K416" s="246"/>
      <c r="L416" s="156"/>
      <c r="M416" s="246"/>
      <c r="T416" s="3"/>
      <c r="V416" s="24"/>
      <c r="W416" s="24"/>
      <c r="X416" s="24"/>
    </row>
    <row r="417" spans="2:24" s="111" customFormat="1">
      <c r="B417" s="158"/>
      <c r="G417" s="159"/>
      <c r="H417" s="112"/>
      <c r="J417" s="629"/>
      <c r="K417" s="246"/>
      <c r="L417" s="156"/>
      <c r="M417" s="246"/>
      <c r="T417" s="3"/>
      <c r="V417" s="24"/>
      <c r="W417" s="24"/>
      <c r="X417" s="24"/>
    </row>
    <row r="418" spans="2:24" s="111" customFormat="1">
      <c r="B418" s="158"/>
      <c r="G418" s="159"/>
      <c r="H418" s="112"/>
      <c r="J418" s="629"/>
      <c r="K418" s="246"/>
      <c r="L418" s="156"/>
      <c r="M418" s="246"/>
      <c r="T418" s="3"/>
      <c r="V418" s="24"/>
      <c r="W418" s="24"/>
      <c r="X418" s="24"/>
    </row>
    <row r="419" spans="2:24" s="111" customFormat="1">
      <c r="B419" s="158"/>
      <c r="G419" s="159"/>
      <c r="H419" s="112"/>
      <c r="J419" s="629"/>
      <c r="K419" s="246"/>
      <c r="L419" s="156"/>
      <c r="M419" s="246"/>
      <c r="T419" s="3"/>
      <c r="V419" s="24"/>
      <c r="W419" s="24"/>
      <c r="X419" s="24"/>
    </row>
    <row r="420" spans="2:24" s="111" customFormat="1">
      <c r="B420" s="158"/>
      <c r="G420" s="159"/>
      <c r="H420" s="112"/>
      <c r="J420" s="629"/>
      <c r="K420" s="246"/>
      <c r="L420" s="156"/>
      <c r="M420" s="246"/>
      <c r="T420" s="3"/>
      <c r="V420" s="24"/>
      <c r="W420" s="24"/>
      <c r="X420" s="24"/>
    </row>
    <row r="421" spans="2:24" s="111" customFormat="1">
      <c r="B421" s="158"/>
      <c r="G421" s="159"/>
      <c r="H421" s="112"/>
      <c r="J421" s="629"/>
      <c r="K421" s="246"/>
      <c r="L421" s="156"/>
      <c r="M421" s="246"/>
      <c r="T421" s="3"/>
      <c r="V421" s="24"/>
      <c r="W421" s="24"/>
      <c r="X421" s="24"/>
    </row>
    <row r="422" spans="2:24" s="111" customFormat="1">
      <c r="B422" s="158"/>
      <c r="G422" s="159"/>
      <c r="H422" s="112"/>
      <c r="J422" s="629"/>
      <c r="K422" s="246"/>
      <c r="L422" s="156"/>
      <c r="M422" s="246"/>
      <c r="T422" s="3"/>
      <c r="V422" s="24"/>
      <c r="W422" s="24"/>
      <c r="X422" s="24"/>
    </row>
    <row r="423" spans="2:24" s="111" customFormat="1">
      <c r="B423" s="158"/>
      <c r="G423" s="159"/>
      <c r="H423" s="112"/>
      <c r="J423" s="629"/>
      <c r="K423" s="246"/>
      <c r="L423" s="156"/>
      <c r="M423" s="246"/>
      <c r="T423" s="3"/>
      <c r="V423" s="24"/>
      <c r="W423" s="24"/>
      <c r="X423" s="24"/>
    </row>
    <row r="424" spans="2:24" s="111" customFormat="1">
      <c r="B424" s="158"/>
      <c r="G424" s="159"/>
      <c r="H424" s="112"/>
      <c r="J424" s="629"/>
      <c r="K424" s="246"/>
      <c r="L424" s="156"/>
      <c r="M424" s="246"/>
      <c r="T424" s="3"/>
      <c r="V424" s="24"/>
      <c r="W424" s="24"/>
      <c r="X424" s="24"/>
    </row>
    <row r="425" spans="2:24" s="111" customFormat="1">
      <c r="B425" s="158"/>
      <c r="G425" s="159"/>
      <c r="H425" s="112"/>
      <c r="J425" s="629"/>
      <c r="K425" s="246"/>
      <c r="L425" s="156"/>
      <c r="M425" s="246"/>
      <c r="T425" s="3"/>
      <c r="V425" s="24"/>
      <c r="W425" s="24"/>
      <c r="X425" s="24"/>
    </row>
    <row r="426" spans="2:24" s="111" customFormat="1">
      <c r="B426" s="158"/>
      <c r="G426" s="159"/>
      <c r="H426" s="112"/>
      <c r="J426" s="629"/>
      <c r="K426" s="246"/>
      <c r="L426" s="156"/>
      <c r="M426" s="246"/>
      <c r="T426" s="3"/>
      <c r="V426" s="24"/>
      <c r="W426" s="24"/>
      <c r="X426" s="24"/>
    </row>
    <row r="427" spans="2:24" s="111" customFormat="1">
      <c r="B427" s="158"/>
      <c r="G427" s="159"/>
      <c r="H427" s="112"/>
      <c r="J427" s="629"/>
      <c r="K427" s="246"/>
      <c r="L427" s="156"/>
      <c r="M427" s="246"/>
      <c r="T427" s="3"/>
      <c r="V427" s="24"/>
      <c r="W427" s="24"/>
      <c r="X427" s="24"/>
    </row>
    <row r="428" spans="2:24" s="111" customFormat="1">
      <c r="B428" s="158"/>
      <c r="G428" s="159"/>
      <c r="H428" s="112"/>
      <c r="J428" s="629"/>
      <c r="K428" s="246"/>
      <c r="L428" s="156"/>
      <c r="M428" s="246"/>
      <c r="T428" s="3"/>
      <c r="V428" s="24"/>
      <c r="W428" s="24"/>
      <c r="X428" s="24"/>
    </row>
    <row r="429" spans="2:24" s="111" customFormat="1">
      <c r="B429" s="158"/>
      <c r="G429" s="159"/>
      <c r="H429" s="112"/>
      <c r="J429" s="629"/>
      <c r="K429" s="246"/>
      <c r="L429" s="156"/>
      <c r="M429" s="246"/>
      <c r="T429" s="3"/>
      <c r="V429" s="24"/>
      <c r="W429" s="24"/>
      <c r="X429" s="24"/>
    </row>
    <row r="430" spans="2:24" s="111" customFormat="1">
      <c r="B430" s="158"/>
      <c r="G430" s="159"/>
      <c r="H430" s="112"/>
      <c r="J430" s="629"/>
      <c r="K430" s="246"/>
      <c r="L430" s="156"/>
      <c r="M430" s="246"/>
      <c r="T430" s="3"/>
      <c r="V430" s="24"/>
      <c r="W430" s="24"/>
      <c r="X430" s="24"/>
    </row>
    <row r="431" spans="2:24" s="111" customFormat="1">
      <c r="B431" s="158"/>
      <c r="G431" s="159"/>
      <c r="H431" s="112"/>
      <c r="J431" s="629"/>
      <c r="K431" s="246"/>
      <c r="L431" s="156"/>
      <c r="M431" s="246"/>
      <c r="T431" s="3"/>
      <c r="V431" s="24"/>
      <c r="W431" s="24"/>
      <c r="X431" s="24"/>
    </row>
    <row r="432" spans="2:24" s="111" customFormat="1">
      <c r="B432" s="158"/>
      <c r="G432" s="159"/>
      <c r="H432" s="112"/>
      <c r="J432" s="629"/>
      <c r="K432" s="246"/>
      <c r="L432" s="156"/>
      <c r="M432" s="246"/>
      <c r="T432" s="3"/>
      <c r="V432" s="24"/>
      <c r="W432" s="24"/>
      <c r="X432" s="24"/>
    </row>
    <row r="433" spans="2:24" s="111" customFormat="1">
      <c r="B433" s="158"/>
      <c r="G433" s="159"/>
      <c r="H433" s="112"/>
      <c r="J433" s="629"/>
      <c r="K433" s="246"/>
      <c r="L433" s="156"/>
      <c r="M433" s="246"/>
      <c r="T433" s="3"/>
      <c r="V433" s="24"/>
      <c r="W433" s="24"/>
      <c r="X433" s="24"/>
    </row>
    <row r="434" spans="2:24" s="111" customFormat="1">
      <c r="B434" s="158"/>
      <c r="G434" s="159"/>
      <c r="H434" s="112"/>
      <c r="J434" s="629"/>
      <c r="K434" s="246"/>
      <c r="L434" s="156"/>
      <c r="M434" s="246"/>
      <c r="T434" s="3"/>
      <c r="V434" s="24"/>
      <c r="W434" s="24"/>
      <c r="X434" s="24"/>
    </row>
    <row r="435" spans="2:24" s="111" customFormat="1">
      <c r="B435" s="158"/>
      <c r="G435" s="159"/>
      <c r="H435" s="112"/>
      <c r="J435" s="629"/>
      <c r="K435" s="246"/>
      <c r="L435" s="156"/>
      <c r="M435" s="246"/>
      <c r="T435" s="3"/>
      <c r="V435" s="24"/>
      <c r="W435" s="24"/>
      <c r="X435" s="24"/>
    </row>
    <row r="436" spans="2:24" s="111" customFormat="1">
      <c r="B436" s="158"/>
      <c r="G436" s="159"/>
      <c r="H436" s="112"/>
      <c r="J436" s="629"/>
      <c r="K436" s="246"/>
      <c r="L436" s="156"/>
      <c r="M436" s="246"/>
      <c r="T436" s="3"/>
      <c r="V436" s="24"/>
      <c r="W436" s="24"/>
      <c r="X436" s="24"/>
    </row>
    <row r="437" spans="2:24" s="111" customFormat="1">
      <c r="B437" s="158"/>
      <c r="G437" s="159"/>
      <c r="H437" s="112"/>
      <c r="J437" s="629"/>
      <c r="K437" s="246"/>
      <c r="L437" s="156"/>
      <c r="M437" s="246"/>
      <c r="T437" s="3"/>
      <c r="V437" s="24"/>
      <c r="W437" s="24"/>
      <c r="X437" s="24"/>
    </row>
    <row r="438" spans="2:24" s="111" customFormat="1">
      <c r="B438" s="158"/>
      <c r="G438" s="159"/>
      <c r="H438" s="112"/>
      <c r="J438" s="629"/>
      <c r="K438" s="246"/>
      <c r="L438" s="156"/>
      <c r="M438" s="246"/>
      <c r="T438" s="3"/>
      <c r="V438" s="24"/>
      <c r="W438" s="24"/>
      <c r="X438" s="24"/>
    </row>
    <row r="439" spans="2:24" s="111" customFormat="1">
      <c r="B439" s="158"/>
      <c r="G439" s="159"/>
      <c r="H439" s="112"/>
      <c r="J439" s="629"/>
      <c r="K439" s="246"/>
      <c r="L439" s="156"/>
      <c r="M439" s="246"/>
      <c r="T439" s="3"/>
      <c r="V439" s="24"/>
      <c r="W439" s="24"/>
      <c r="X439" s="24"/>
    </row>
    <row r="440" spans="2:24" s="111" customFormat="1">
      <c r="B440" s="158"/>
      <c r="G440" s="159"/>
      <c r="H440" s="112"/>
      <c r="J440" s="629"/>
      <c r="K440" s="246"/>
      <c r="L440" s="156"/>
      <c r="M440" s="246"/>
      <c r="T440" s="3"/>
      <c r="V440" s="24"/>
      <c r="W440" s="24"/>
      <c r="X440" s="24"/>
    </row>
    <row r="441" spans="2:24" s="111" customFormat="1">
      <c r="B441" s="158"/>
      <c r="G441" s="159"/>
      <c r="H441" s="112"/>
      <c r="J441" s="629"/>
      <c r="K441" s="246"/>
      <c r="L441" s="156"/>
      <c r="M441" s="246"/>
      <c r="T441" s="3"/>
      <c r="V441" s="24"/>
      <c r="W441" s="24"/>
      <c r="X441" s="24"/>
    </row>
    <row r="442" spans="2:24" s="111" customFormat="1">
      <c r="B442" s="158"/>
      <c r="G442" s="159"/>
      <c r="H442" s="112"/>
      <c r="J442" s="629"/>
      <c r="K442" s="246"/>
      <c r="L442" s="156"/>
      <c r="M442" s="246"/>
      <c r="T442" s="3"/>
      <c r="V442" s="24"/>
      <c r="W442" s="24"/>
      <c r="X442" s="24"/>
    </row>
    <row r="443" spans="2:24" s="111" customFormat="1">
      <c r="B443" s="158"/>
      <c r="G443" s="159"/>
      <c r="H443" s="112"/>
      <c r="J443" s="629"/>
      <c r="K443" s="246"/>
      <c r="L443" s="156"/>
      <c r="M443" s="246"/>
      <c r="T443" s="3"/>
      <c r="V443" s="24"/>
      <c r="W443" s="24"/>
      <c r="X443" s="24"/>
    </row>
    <row r="444" spans="2:24" s="111" customFormat="1">
      <c r="B444" s="158"/>
      <c r="G444" s="159"/>
      <c r="H444" s="112"/>
      <c r="J444" s="629"/>
      <c r="K444" s="246"/>
      <c r="L444" s="156"/>
      <c r="M444" s="246"/>
      <c r="T444" s="3"/>
      <c r="V444" s="24"/>
      <c r="W444" s="24"/>
      <c r="X444" s="24"/>
    </row>
    <row r="445" spans="2:24" s="111" customFormat="1">
      <c r="B445" s="158"/>
      <c r="G445" s="159"/>
      <c r="H445" s="112"/>
      <c r="J445" s="629"/>
      <c r="K445" s="246"/>
      <c r="L445" s="156"/>
      <c r="M445" s="246"/>
      <c r="T445" s="3"/>
      <c r="V445" s="24"/>
      <c r="W445" s="24"/>
      <c r="X445" s="24"/>
    </row>
    <row r="446" spans="2:24" s="111" customFormat="1">
      <c r="B446" s="158"/>
      <c r="G446" s="159"/>
      <c r="H446" s="112"/>
      <c r="J446" s="629"/>
      <c r="K446" s="246"/>
      <c r="L446" s="156"/>
      <c r="M446" s="246"/>
      <c r="T446" s="3"/>
      <c r="V446" s="24"/>
      <c r="W446" s="24"/>
      <c r="X446" s="24"/>
    </row>
    <row r="447" spans="2:24" s="111" customFormat="1">
      <c r="B447" s="158"/>
      <c r="G447" s="159"/>
      <c r="H447" s="112"/>
      <c r="J447" s="629"/>
      <c r="K447" s="246"/>
      <c r="L447" s="156"/>
      <c r="M447" s="246"/>
      <c r="T447" s="3"/>
      <c r="V447" s="24"/>
      <c r="W447" s="24"/>
      <c r="X447" s="24"/>
    </row>
    <row r="448" spans="2:24" s="111" customFormat="1">
      <c r="B448" s="158"/>
      <c r="G448" s="159"/>
      <c r="H448" s="112"/>
      <c r="J448" s="629"/>
      <c r="K448" s="246"/>
      <c r="L448" s="156"/>
      <c r="M448" s="246"/>
      <c r="T448" s="3"/>
      <c r="V448" s="24"/>
      <c r="W448" s="24"/>
      <c r="X448" s="24"/>
    </row>
    <row r="449" spans="2:24" s="111" customFormat="1">
      <c r="B449" s="158"/>
      <c r="G449" s="159"/>
      <c r="H449" s="112"/>
      <c r="J449" s="629"/>
      <c r="K449" s="246"/>
      <c r="L449" s="156"/>
      <c r="M449" s="246"/>
      <c r="T449" s="3"/>
      <c r="V449" s="24"/>
      <c r="W449" s="24"/>
      <c r="X449" s="24"/>
    </row>
    <row r="450" spans="2:24" s="111" customFormat="1">
      <c r="B450" s="158"/>
      <c r="G450" s="159"/>
      <c r="H450" s="112"/>
      <c r="J450" s="629"/>
      <c r="K450" s="246"/>
      <c r="L450" s="156"/>
      <c r="M450" s="246"/>
      <c r="T450" s="3"/>
      <c r="V450" s="24"/>
      <c r="W450" s="24"/>
      <c r="X450" s="24"/>
    </row>
    <row r="451" spans="2:24" s="111" customFormat="1">
      <c r="B451" s="158"/>
      <c r="G451" s="159"/>
      <c r="H451" s="112"/>
      <c r="J451" s="629"/>
      <c r="K451" s="246"/>
      <c r="L451" s="156"/>
      <c r="M451" s="246"/>
      <c r="T451" s="3"/>
      <c r="V451" s="24"/>
      <c r="W451" s="24"/>
      <c r="X451" s="24"/>
    </row>
    <row r="452" spans="2:24" s="111" customFormat="1">
      <c r="B452" s="158"/>
      <c r="G452" s="159"/>
      <c r="H452" s="112"/>
      <c r="J452" s="629"/>
      <c r="K452" s="246"/>
      <c r="L452" s="156"/>
      <c r="M452" s="246"/>
      <c r="T452" s="3"/>
      <c r="V452" s="24"/>
      <c r="W452" s="24"/>
      <c r="X452" s="24"/>
    </row>
    <row r="453" spans="2:24" s="111" customFormat="1">
      <c r="B453" s="158"/>
      <c r="G453" s="159"/>
      <c r="H453" s="112"/>
      <c r="J453" s="629"/>
      <c r="K453" s="246"/>
      <c r="L453" s="156"/>
      <c r="M453" s="246"/>
      <c r="T453" s="3"/>
      <c r="V453" s="24"/>
      <c r="W453" s="24"/>
      <c r="X453" s="24"/>
    </row>
    <row r="454" spans="2:24" s="111" customFormat="1">
      <c r="B454" s="158"/>
      <c r="G454" s="159"/>
      <c r="H454" s="112"/>
      <c r="J454" s="629"/>
      <c r="K454" s="246"/>
      <c r="L454" s="156"/>
      <c r="M454" s="246"/>
      <c r="T454" s="3"/>
      <c r="V454" s="24"/>
      <c r="W454" s="24"/>
      <c r="X454" s="24"/>
    </row>
    <row r="455" spans="2:24" s="111" customFormat="1">
      <c r="B455" s="158"/>
      <c r="G455" s="159"/>
      <c r="H455" s="112"/>
      <c r="J455" s="629"/>
      <c r="K455" s="246"/>
      <c r="L455" s="156"/>
      <c r="M455" s="246"/>
      <c r="T455" s="3"/>
      <c r="V455" s="24"/>
      <c r="W455" s="24"/>
      <c r="X455" s="24"/>
    </row>
    <row r="456" spans="2:24" s="111" customFormat="1">
      <c r="B456" s="158"/>
      <c r="G456" s="159"/>
      <c r="H456" s="112"/>
      <c r="J456" s="629"/>
      <c r="K456" s="246"/>
      <c r="L456" s="156"/>
      <c r="M456" s="246"/>
      <c r="T456" s="3"/>
      <c r="V456" s="24"/>
      <c r="W456" s="24"/>
      <c r="X456" s="24"/>
    </row>
    <row r="457" spans="2:24" s="111" customFormat="1">
      <c r="B457" s="158"/>
      <c r="G457" s="159"/>
      <c r="H457" s="112"/>
      <c r="J457" s="629"/>
      <c r="K457" s="246"/>
      <c r="L457" s="156"/>
      <c r="M457" s="246"/>
      <c r="T457" s="3"/>
      <c r="V457" s="24"/>
      <c r="W457" s="24"/>
      <c r="X457" s="24"/>
    </row>
    <row r="458" spans="2:24" s="111" customFormat="1">
      <c r="B458" s="158"/>
      <c r="G458" s="159"/>
      <c r="H458" s="112"/>
      <c r="J458" s="629"/>
      <c r="K458" s="246"/>
      <c r="L458" s="156"/>
      <c r="M458" s="246"/>
      <c r="T458" s="3"/>
      <c r="V458" s="24"/>
      <c r="W458" s="24"/>
      <c r="X458" s="24"/>
    </row>
    <row r="459" spans="2:24" s="111" customFormat="1">
      <c r="B459" s="158"/>
      <c r="G459" s="159"/>
      <c r="H459" s="112"/>
      <c r="J459" s="629"/>
      <c r="K459" s="246"/>
      <c r="L459" s="156"/>
      <c r="M459" s="246"/>
      <c r="T459" s="3"/>
      <c r="V459" s="24"/>
      <c r="W459" s="24"/>
      <c r="X459" s="24"/>
    </row>
    <row r="460" spans="2:24" s="111" customFormat="1">
      <c r="B460" s="158"/>
      <c r="G460" s="159"/>
      <c r="H460" s="112"/>
      <c r="J460" s="629"/>
      <c r="K460" s="246"/>
      <c r="L460" s="156"/>
      <c r="M460" s="246"/>
      <c r="T460" s="3"/>
      <c r="V460" s="24"/>
      <c r="W460" s="24"/>
      <c r="X460" s="24"/>
    </row>
    <row r="461" spans="2:24" s="111" customFormat="1">
      <c r="B461" s="158"/>
      <c r="G461" s="159"/>
      <c r="H461" s="112"/>
      <c r="J461" s="629"/>
      <c r="K461" s="246"/>
      <c r="L461" s="156"/>
      <c r="M461" s="246"/>
      <c r="T461" s="3"/>
      <c r="V461" s="24"/>
      <c r="W461" s="24"/>
      <c r="X461" s="24"/>
    </row>
    <row r="462" spans="2:24" s="111" customFormat="1">
      <c r="B462" s="158"/>
      <c r="G462" s="159"/>
      <c r="H462" s="112"/>
      <c r="J462" s="629"/>
      <c r="K462" s="246"/>
      <c r="L462" s="156"/>
      <c r="M462" s="246"/>
      <c r="T462" s="3"/>
      <c r="V462" s="24"/>
      <c r="W462" s="24"/>
      <c r="X462" s="24"/>
    </row>
    <row r="463" spans="2:24" s="111" customFormat="1">
      <c r="B463" s="158"/>
      <c r="G463" s="159"/>
      <c r="H463" s="112"/>
      <c r="J463" s="629"/>
      <c r="K463" s="246"/>
      <c r="L463" s="156"/>
      <c r="M463" s="246"/>
      <c r="T463" s="3"/>
      <c r="V463" s="24"/>
      <c r="W463" s="24"/>
      <c r="X463" s="24"/>
    </row>
    <row r="464" spans="2:24" s="111" customFormat="1">
      <c r="B464" s="158"/>
      <c r="G464" s="159"/>
      <c r="H464" s="112"/>
      <c r="J464" s="629"/>
      <c r="K464" s="246"/>
      <c r="L464" s="156"/>
      <c r="M464" s="246"/>
      <c r="T464" s="3"/>
      <c r="V464" s="24"/>
      <c r="W464" s="24"/>
      <c r="X464" s="24"/>
    </row>
    <row r="465" spans="2:24" s="111" customFormat="1">
      <c r="B465" s="158"/>
      <c r="G465" s="159"/>
      <c r="H465" s="112"/>
      <c r="J465" s="629"/>
      <c r="K465" s="246"/>
      <c r="L465" s="156"/>
      <c r="M465" s="246"/>
      <c r="T465" s="3"/>
      <c r="V465" s="24"/>
      <c r="W465" s="24"/>
      <c r="X465" s="24"/>
    </row>
    <row r="466" spans="2:24" s="111" customFormat="1">
      <c r="B466" s="158"/>
      <c r="G466" s="159"/>
      <c r="H466" s="112"/>
      <c r="J466" s="629"/>
      <c r="K466" s="246"/>
      <c r="L466" s="156"/>
      <c r="M466" s="246"/>
      <c r="T466" s="3"/>
      <c r="V466" s="24"/>
      <c r="W466" s="24"/>
      <c r="X466" s="24"/>
    </row>
    <row r="467" spans="2:24" s="111" customFormat="1">
      <c r="B467" s="158"/>
      <c r="G467" s="159"/>
      <c r="H467" s="112"/>
      <c r="J467" s="629"/>
      <c r="K467" s="246"/>
      <c r="L467" s="156"/>
      <c r="M467" s="246"/>
      <c r="T467" s="3"/>
      <c r="V467" s="24"/>
      <c r="W467" s="24"/>
      <c r="X467" s="24"/>
    </row>
    <row r="468" spans="2:24" s="111" customFormat="1">
      <c r="B468" s="158"/>
      <c r="G468" s="159"/>
      <c r="H468" s="112"/>
      <c r="J468" s="629"/>
      <c r="K468" s="246"/>
      <c r="L468" s="156"/>
      <c r="M468" s="246"/>
      <c r="T468" s="3"/>
      <c r="V468" s="24"/>
      <c r="W468" s="24"/>
      <c r="X468" s="24"/>
    </row>
    <row r="469" spans="2:24" s="111" customFormat="1">
      <c r="B469" s="158"/>
      <c r="G469" s="159"/>
      <c r="H469" s="112"/>
      <c r="J469" s="629"/>
      <c r="K469" s="246"/>
      <c r="L469" s="156"/>
      <c r="M469" s="246"/>
      <c r="T469" s="3"/>
      <c r="V469" s="24"/>
      <c r="W469" s="24"/>
      <c r="X469" s="24"/>
    </row>
    <row r="470" spans="2:24" s="111" customFormat="1">
      <c r="B470" s="158"/>
      <c r="G470" s="159"/>
      <c r="H470" s="112"/>
      <c r="J470" s="629"/>
      <c r="K470" s="246"/>
      <c r="L470" s="156"/>
      <c r="M470" s="246"/>
      <c r="T470" s="3"/>
      <c r="V470" s="24"/>
      <c r="W470" s="24"/>
      <c r="X470" s="24"/>
    </row>
    <row r="471" spans="2:24" s="111" customFormat="1">
      <c r="B471" s="158"/>
      <c r="G471" s="159"/>
      <c r="H471" s="112"/>
      <c r="J471" s="629"/>
      <c r="K471" s="246"/>
      <c r="L471" s="156"/>
      <c r="M471" s="246"/>
      <c r="T471" s="3"/>
      <c r="V471" s="24"/>
      <c r="W471" s="24"/>
      <c r="X471" s="24"/>
    </row>
    <row r="472" spans="2:24" s="111" customFormat="1">
      <c r="B472" s="158"/>
      <c r="G472" s="159"/>
      <c r="H472" s="112"/>
      <c r="J472" s="629"/>
      <c r="K472" s="246"/>
      <c r="L472" s="156"/>
      <c r="M472" s="246"/>
      <c r="T472" s="3"/>
      <c r="V472" s="24"/>
      <c r="W472" s="24"/>
      <c r="X472" s="24"/>
    </row>
    <row r="473" spans="2:24" s="111" customFormat="1">
      <c r="B473" s="158"/>
      <c r="G473" s="159"/>
      <c r="H473" s="112"/>
      <c r="J473" s="629"/>
      <c r="K473" s="246"/>
      <c r="L473" s="156"/>
      <c r="M473" s="246"/>
      <c r="T473" s="3"/>
      <c r="V473" s="24"/>
      <c r="W473" s="24"/>
      <c r="X473" s="24"/>
    </row>
    <row r="474" spans="2:24" s="111" customFormat="1">
      <c r="B474" s="158"/>
      <c r="G474" s="159"/>
      <c r="H474" s="112"/>
      <c r="J474" s="629"/>
      <c r="K474" s="246"/>
      <c r="L474" s="156"/>
      <c r="M474" s="246"/>
      <c r="T474" s="3"/>
      <c r="V474" s="24"/>
      <c r="W474" s="24"/>
      <c r="X474" s="24"/>
    </row>
    <row r="475" spans="2:24" s="111" customFormat="1">
      <c r="B475" s="158"/>
      <c r="G475" s="159"/>
      <c r="H475" s="112"/>
      <c r="J475" s="629"/>
      <c r="K475" s="246"/>
      <c r="L475" s="156"/>
      <c r="M475" s="246"/>
      <c r="T475" s="3"/>
      <c r="V475" s="24"/>
      <c r="W475" s="24"/>
      <c r="X475" s="24"/>
    </row>
    <row r="476" spans="2:24" s="111" customFormat="1">
      <c r="B476" s="158"/>
      <c r="G476" s="159"/>
      <c r="H476" s="112"/>
      <c r="J476" s="629"/>
      <c r="K476" s="246"/>
      <c r="L476" s="156"/>
      <c r="M476" s="246"/>
      <c r="T476" s="3"/>
      <c r="V476" s="24"/>
      <c r="W476" s="24"/>
      <c r="X476" s="24"/>
    </row>
    <row r="477" spans="2:24" s="111" customFormat="1">
      <c r="B477" s="158"/>
      <c r="G477" s="159"/>
      <c r="H477" s="112"/>
      <c r="J477" s="629"/>
      <c r="K477" s="246"/>
      <c r="L477" s="156"/>
      <c r="M477" s="246"/>
      <c r="T477" s="3"/>
      <c r="V477" s="24"/>
      <c r="W477" s="24"/>
      <c r="X477" s="24"/>
    </row>
    <row r="478" spans="2:24" s="111" customFormat="1">
      <c r="B478" s="158"/>
      <c r="G478" s="159"/>
      <c r="H478" s="112"/>
      <c r="J478" s="629"/>
      <c r="K478" s="246"/>
      <c r="L478" s="156"/>
      <c r="M478" s="246"/>
      <c r="T478" s="3"/>
      <c r="V478" s="24"/>
      <c r="W478" s="24"/>
      <c r="X478" s="24"/>
    </row>
    <row r="479" spans="2:24" s="111" customFormat="1">
      <c r="B479" s="158"/>
      <c r="G479" s="159"/>
      <c r="H479" s="112"/>
      <c r="J479" s="629"/>
      <c r="K479" s="246"/>
      <c r="L479" s="156"/>
      <c r="M479" s="246"/>
      <c r="T479" s="3"/>
      <c r="V479" s="24"/>
      <c r="W479" s="24"/>
      <c r="X479" s="24"/>
    </row>
    <row r="480" spans="2:24" s="111" customFormat="1">
      <c r="B480" s="158"/>
      <c r="G480" s="159"/>
      <c r="H480" s="112"/>
      <c r="J480" s="629"/>
      <c r="K480" s="246"/>
      <c r="L480" s="156"/>
      <c r="M480" s="246"/>
      <c r="T480" s="3"/>
      <c r="V480" s="24"/>
      <c r="W480" s="24"/>
      <c r="X480" s="24"/>
    </row>
    <row r="481" spans="2:27" s="111" customFormat="1">
      <c r="B481" s="158"/>
      <c r="G481" s="159"/>
      <c r="H481" s="112"/>
      <c r="J481" s="629"/>
      <c r="K481" s="246"/>
      <c r="L481" s="156"/>
      <c r="M481" s="246"/>
      <c r="T481" s="3"/>
      <c r="V481" s="24"/>
      <c r="W481" s="24"/>
      <c r="X481" s="24"/>
    </row>
    <row r="482" spans="2:27" s="111" customFormat="1">
      <c r="B482" s="158"/>
      <c r="G482" s="159"/>
      <c r="H482" s="112"/>
      <c r="J482" s="629"/>
      <c r="K482" s="246"/>
      <c r="L482" s="156"/>
      <c r="M482" s="246"/>
      <c r="T482" s="3"/>
      <c r="V482" s="24"/>
      <c r="W482" s="24"/>
      <c r="X482" s="24"/>
    </row>
    <row r="483" spans="2:27" s="111" customFormat="1">
      <c r="B483" s="158"/>
      <c r="G483" s="159"/>
      <c r="H483" s="112"/>
      <c r="J483" s="629"/>
      <c r="K483" s="246"/>
      <c r="L483" s="156"/>
      <c r="M483" s="246"/>
      <c r="T483" s="3"/>
      <c r="V483" s="24"/>
      <c r="W483" s="24"/>
      <c r="X483" s="24"/>
    </row>
    <row r="484" spans="2:27" s="111" customFormat="1">
      <c r="B484" s="158"/>
      <c r="G484" s="159"/>
      <c r="H484" s="112"/>
      <c r="J484" s="629"/>
      <c r="K484" s="246"/>
      <c r="L484" s="156"/>
      <c r="M484" s="246"/>
      <c r="T484" s="3"/>
      <c r="V484" s="24"/>
      <c r="W484" s="24"/>
      <c r="X484" s="24"/>
    </row>
    <row r="485" spans="2:27" s="111" customFormat="1">
      <c r="B485" s="158"/>
      <c r="G485" s="159"/>
      <c r="H485" s="112"/>
      <c r="J485" s="629"/>
      <c r="K485" s="246"/>
      <c r="L485" s="156"/>
      <c r="M485" s="246"/>
      <c r="T485" s="3"/>
      <c r="V485" s="24"/>
      <c r="W485" s="24"/>
      <c r="X485" s="24"/>
    </row>
    <row r="486" spans="2:27" s="111" customFormat="1">
      <c r="B486" s="158"/>
      <c r="G486" s="159"/>
      <c r="H486" s="112"/>
      <c r="J486" s="629"/>
      <c r="K486" s="246"/>
      <c r="L486" s="156"/>
      <c r="M486" s="246"/>
      <c r="T486" s="3"/>
      <c r="V486" s="24"/>
      <c r="W486" s="24"/>
      <c r="X486" s="24"/>
    </row>
    <row r="487" spans="2:27" s="111" customFormat="1">
      <c r="B487" s="158"/>
      <c r="G487" s="159"/>
      <c r="H487" s="112"/>
      <c r="J487" s="629"/>
      <c r="K487" s="246"/>
      <c r="L487" s="156"/>
      <c r="M487" s="246"/>
      <c r="T487" s="3"/>
      <c r="V487" s="24"/>
      <c r="W487" s="24"/>
      <c r="X487" s="24"/>
    </row>
    <row r="488" spans="2:27" s="111" customFormat="1">
      <c r="B488" s="158"/>
      <c r="G488" s="159"/>
      <c r="H488" s="112"/>
      <c r="J488" s="629"/>
      <c r="K488" s="246"/>
      <c r="L488" s="156"/>
      <c r="M488" s="246"/>
      <c r="T488" s="3"/>
      <c r="V488" s="24"/>
      <c r="W488" s="24"/>
      <c r="X488" s="24"/>
    </row>
    <row r="489" spans="2:27" s="111" customFormat="1">
      <c r="B489" s="158"/>
      <c r="G489" s="159"/>
      <c r="H489" s="112"/>
      <c r="J489" s="629"/>
      <c r="K489" s="246"/>
      <c r="L489" s="156"/>
      <c r="M489" s="246"/>
      <c r="T489" s="3"/>
      <c r="V489" s="24"/>
      <c r="W489" s="24"/>
      <c r="X489" s="24"/>
    </row>
    <row r="490" spans="2:27" s="111" customFormat="1">
      <c r="B490" s="158"/>
      <c r="G490" s="159"/>
      <c r="H490" s="112"/>
      <c r="J490" s="629"/>
      <c r="K490" s="246"/>
      <c r="L490" s="156"/>
      <c r="M490" s="246"/>
      <c r="T490" s="3"/>
      <c r="V490" s="24"/>
      <c r="W490" s="24"/>
      <c r="X490" s="24"/>
    </row>
    <row r="491" spans="2:27" s="111" customFormat="1">
      <c r="B491" s="158"/>
      <c r="G491" s="159"/>
      <c r="H491" s="112"/>
      <c r="J491" s="629"/>
      <c r="K491" s="246"/>
      <c r="L491" s="156"/>
      <c r="M491" s="246"/>
      <c r="T491" s="3"/>
      <c r="V491" s="24"/>
      <c r="W491" s="24"/>
      <c r="X491" s="24"/>
    </row>
    <row r="492" spans="2:27" s="111" customFormat="1">
      <c r="B492" s="158"/>
      <c r="G492" s="159"/>
      <c r="H492" s="112"/>
      <c r="J492" s="629"/>
      <c r="K492" s="246"/>
      <c r="L492" s="156"/>
      <c r="M492" s="246"/>
      <c r="T492" s="3"/>
      <c r="V492" s="24"/>
      <c r="W492" s="24"/>
      <c r="X492" s="24"/>
    </row>
    <row r="493" spans="2:27" s="111" customFormat="1">
      <c r="B493" s="158"/>
      <c r="G493" s="159"/>
      <c r="H493" s="112"/>
      <c r="J493" s="629"/>
      <c r="K493" s="246"/>
      <c r="L493" s="156"/>
      <c r="M493" s="246"/>
      <c r="T493" s="3"/>
      <c r="V493" s="24"/>
      <c r="W493" s="24"/>
      <c r="X493" s="24"/>
    </row>
    <row r="494" spans="2:27" s="111" customFormat="1">
      <c r="B494" s="158"/>
      <c r="G494" s="159"/>
      <c r="H494" s="112"/>
      <c r="J494" s="629"/>
      <c r="K494" s="246"/>
      <c r="L494" s="156"/>
      <c r="M494" s="246"/>
      <c r="T494" s="3"/>
      <c r="V494" s="24"/>
      <c r="W494" s="24"/>
      <c r="X494" s="24"/>
    </row>
    <row r="495" spans="2:27" s="111" customFormat="1">
      <c r="B495" s="158"/>
      <c r="G495" s="159"/>
      <c r="H495" s="112"/>
      <c r="J495" s="629"/>
      <c r="K495" s="246"/>
      <c r="L495" s="156"/>
      <c r="M495" s="246"/>
      <c r="T495" s="3"/>
      <c r="V495" s="24"/>
      <c r="W495" s="24"/>
      <c r="X495" s="24"/>
      <c r="Y495" s="24"/>
      <c r="Z495" s="24"/>
      <c r="AA495" s="24"/>
    </row>
    <row r="496" spans="2:27" s="111" customFormat="1">
      <c r="B496" s="162"/>
      <c r="C496" s="24"/>
      <c r="F496" s="24"/>
      <c r="G496" s="159"/>
      <c r="H496" s="64"/>
      <c r="J496" s="629"/>
      <c r="K496" s="246"/>
      <c r="L496" s="156"/>
      <c r="M496" s="246"/>
      <c r="T496" s="3"/>
      <c r="V496" s="24"/>
      <c r="W496" s="24"/>
      <c r="X496" s="24"/>
      <c r="Y496" s="24"/>
      <c r="Z496" s="24"/>
      <c r="AA496" s="24"/>
    </row>
    <row r="497" spans="2:29" s="111" customFormat="1">
      <c r="B497" s="162"/>
      <c r="C497" s="24"/>
      <c r="F497" s="24"/>
      <c r="G497" s="159"/>
      <c r="H497" s="64"/>
      <c r="J497" s="629"/>
      <c r="K497" s="246"/>
      <c r="L497" s="156"/>
      <c r="M497" s="246"/>
      <c r="T497" s="3"/>
      <c r="V497" s="24"/>
      <c r="W497" s="24"/>
      <c r="X497" s="24"/>
      <c r="Y497" s="24"/>
      <c r="Z497" s="24"/>
      <c r="AA497" s="24"/>
      <c r="AB497" s="24"/>
      <c r="AC497"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32:S348 P1:Q9 S1:S9 R1:R6 R8:R9 S330 P347:P1048576 Q349:S1048576 AB20:AB37 Q10:S10 P328:S328 U20:U38 R11:S327 N14:N327" name="Range1"/>
    <protectedRange algorithmName="SHA-512" hashValue="0fHuZEaiYGK5sqlV/38Hfc0T7yH0tOTbdy5iYtX6c3lYp4VF2ar7IMEIVGfLLUnhvJzWsmOZSDZnUiLySCBxdg==" saltValue="oeJbzSFL5Q9rgT2MjiMjew==" spinCount="100000" sqref="P10:P44 Q11:Q44 P45:Q327" name="Range1_1"/>
    <protectedRange algorithmName="SHA-512" hashValue="0fHuZEaiYGK5sqlV/38Hfc0T7yH0tOTbdy5iYtX6c3lYp4VF2ar7IMEIVGfLLUnhvJzWsmOZSDZnUiLySCBxdg==" saltValue="oeJbzSFL5Q9rgT2MjiMjew==" spinCount="100000" sqref="B329:B330 A330:A331" name="Range1_2"/>
  </protectedRanges>
  <mergeCells count="3">
    <mergeCell ref="J8:M8"/>
    <mergeCell ref="R10:R11"/>
    <mergeCell ref="AC20:AC35"/>
  </mergeCells>
  <phoneticPr fontId="19" type="noConversion"/>
  <conditionalFormatting sqref="P322:Q327 P84:Q87 P90:Q96 P200:Q221 P22:Q32 P318:Q319 P15:Q19 P137:Q177 P236:Q299 P302:Q315 P58:Q81 P99:Q115 P118:Q134 P224:Q233 P180:Q197 P35:Q55">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76" min="1" max="34" man="1"/>
    <brk id="298"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zoomScale="70" zoomScaleNormal="100" zoomScaleSheetLayoutView="70" workbookViewId="0">
      <selection activeCell="I21" sqref="I21"/>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2" width="9.08984375" style="734"/>
    <col min="13" max="13" width="15.90625" style="734" bestFit="1" customWidth="1"/>
    <col min="14" max="14" width="1.6328125" style="734" customWidth="1"/>
    <col min="15" max="15" width="48.6328125" style="734" bestFit="1" customWidth="1"/>
    <col min="16" max="16384" width="9.08984375" style="734"/>
  </cols>
  <sheetData>
    <row r="1" spans="2:28">
      <c r="M1" s="734" t="s">
        <v>329</v>
      </c>
      <c r="O1" s="734" t="str">
        <f>I14&amp;"-"&amp;C12</f>
        <v>PO4625-MON-20260216-Security Fencing and Alarms CC</v>
      </c>
    </row>
    <row r="2" spans="2:28">
      <c r="M2" s="827"/>
    </row>
    <row r="3" spans="2:28">
      <c r="B3" s="828" t="s">
        <v>330</v>
      </c>
      <c r="C3" s="829" t="s">
        <v>331</v>
      </c>
      <c r="D3" s="830"/>
      <c r="E3" s="831"/>
      <c r="F3" s="831"/>
      <c r="G3" s="831"/>
      <c r="H3" s="831"/>
      <c r="I3" s="831"/>
      <c r="J3" s="831"/>
    </row>
    <row r="4" spans="2:28">
      <c r="B4" s="828" t="s">
        <v>332</v>
      </c>
      <c r="C4" s="830" t="s">
        <v>333</v>
      </c>
      <c r="D4" s="831"/>
      <c r="E4" s="831"/>
      <c r="F4" s="831"/>
      <c r="G4" s="831"/>
      <c r="H4" s="831"/>
      <c r="I4" s="831"/>
      <c r="J4" s="831"/>
    </row>
    <row r="5" spans="2:28">
      <c r="B5" s="828" t="s">
        <v>334</v>
      </c>
      <c r="C5" s="830" t="s">
        <v>335</v>
      </c>
      <c r="D5" s="831"/>
      <c r="E5" s="831"/>
      <c r="F5" s="831"/>
      <c r="G5" s="831"/>
      <c r="H5" s="831"/>
      <c r="I5" s="831"/>
      <c r="J5" s="831"/>
    </row>
    <row r="6" spans="2:28">
      <c r="B6" s="828"/>
      <c r="C6" s="830" t="s">
        <v>336</v>
      </c>
      <c r="D6" s="831"/>
      <c r="E6" s="831"/>
      <c r="F6" s="831"/>
      <c r="G6" s="831"/>
      <c r="H6" s="831"/>
      <c r="I6" s="831"/>
      <c r="J6" s="831"/>
    </row>
    <row r="7" spans="2:28">
      <c r="B7" s="828" t="s">
        <v>337</v>
      </c>
      <c r="C7" s="830" t="s">
        <v>338</v>
      </c>
      <c r="D7" s="831"/>
      <c r="E7" s="831"/>
      <c r="F7" s="831"/>
      <c r="G7" s="831"/>
      <c r="H7" s="831"/>
      <c r="I7" s="831"/>
      <c r="J7" s="831"/>
    </row>
    <row r="8" spans="2:28">
      <c r="B8" s="828" t="s">
        <v>339</v>
      </c>
      <c r="C8" s="832">
        <v>4950256638</v>
      </c>
      <c r="D8" s="831"/>
      <c r="E8" s="831"/>
      <c r="F8" s="831"/>
      <c r="G8" s="831"/>
      <c r="H8" s="831"/>
      <c r="I8" s="831"/>
      <c r="J8" s="831"/>
    </row>
    <row r="9" spans="2:28">
      <c r="B9" s="828"/>
      <c r="C9" s="830"/>
      <c r="D9" s="831"/>
      <c r="E9" s="831"/>
      <c r="F9" s="831"/>
      <c r="G9" s="831"/>
      <c r="H9" s="831"/>
      <c r="I9" s="831"/>
      <c r="J9" s="831"/>
    </row>
    <row r="10" spans="2:28" ht="15" customHeight="1">
      <c r="B10" s="989" t="s">
        <v>340</v>
      </c>
      <c r="C10" s="989"/>
      <c r="D10" s="989"/>
      <c r="E10" s="989"/>
      <c r="F10" s="989"/>
      <c r="G10" s="989"/>
      <c r="H10" s="989"/>
      <c r="I10" s="989"/>
      <c r="J10" s="831"/>
      <c r="AB10" s="833"/>
    </row>
    <row r="11" spans="2:28" ht="15" customHeight="1">
      <c r="B11" s="989"/>
      <c r="C11" s="989"/>
      <c r="D11" s="989"/>
      <c r="E11" s="989"/>
      <c r="F11" s="989"/>
      <c r="G11" s="989"/>
      <c r="H11" s="989"/>
      <c r="I11" s="989"/>
      <c r="J11" s="831"/>
      <c r="AB11" s="833"/>
    </row>
    <row r="12" spans="2:28" ht="15" customHeight="1">
      <c r="B12" s="834" t="s">
        <v>341</v>
      </c>
      <c r="C12" s="990" t="s">
        <v>342</v>
      </c>
      <c r="D12" s="990"/>
      <c r="E12" s="990"/>
      <c r="F12" s="990"/>
      <c r="G12" s="831"/>
      <c r="H12" s="834" t="s">
        <v>343</v>
      </c>
      <c r="I12" s="836">
        <f ca="1">TODAY()</f>
        <v>46078</v>
      </c>
      <c r="J12" s="831"/>
      <c r="AB12" s="833"/>
    </row>
    <row r="13" spans="2:28" ht="15" customHeight="1">
      <c r="B13" s="834" t="s">
        <v>339</v>
      </c>
      <c r="C13" s="991">
        <f>VLOOKUP($C$12,[1]Database!$A:$F,2,FALSE)</f>
        <v>4730114826</v>
      </c>
      <c r="D13" s="991"/>
      <c r="E13" s="991"/>
      <c r="F13" s="991"/>
      <c r="G13" s="831"/>
      <c r="H13" s="834" t="s">
        <v>344</v>
      </c>
      <c r="I13" s="837" t="str">
        <f>'Project Plan'!J2</f>
        <v>Mondi</v>
      </c>
      <c r="J13" s="831"/>
      <c r="AB13" s="833"/>
    </row>
    <row r="14" spans="2:28" ht="15" customHeight="1">
      <c r="B14" s="834" t="s">
        <v>345</v>
      </c>
      <c r="C14" s="991" t="str">
        <f>VLOOKUP($C$12,[1]Database!$A:$F,3,FALSE)</f>
        <v>94 Alumina Alee</v>
      </c>
      <c r="D14" s="991"/>
      <c r="E14" s="991"/>
      <c r="F14" s="991"/>
      <c r="G14" s="831"/>
      <c r="H14" s="834" t="s">
        <v>346</v>
      </c>
      <c r="I14" s="838" t="s">
        <v>811</v>
      </c>
      <c r="J14" s="831"/>
      <c r="AB14" s="833"/>
    </row>
    <row r="15" spans="2:28" ht="15" customHeight="1">
      <c r="B15" s="834"/>
      <c r="C15" s="991" t="str">
        <f>VLOOKUP($C$12,[1]Database!$A:$F,4,FALSE)</f>
        <v>Alton, Richards Bay</v>
      </c>
      <c r="D15" s="991"/>
      <c r="E15" s="991"/>
      <c r="F15" s="991"/>
      <c r="G15" s="831"/>
      <c r="J15" s="831"/>
      <c r="AB15" s="833"/>
    </row>
    <row r="16" spans="2:28" ht="15" customHeight="1">
      <c r="B16" s="834" t="s">
        <v>347</v>
      </c>
      <c r="C16" s="991" t="str">
        <f>VLOOKUP($C$12,[1]Database!$A:$F,5,FALSE)&amp;" "&amp;VLOOKUP($C$12,[1]Database!$A:$F,6,FALSE)</f>
        <v>Neville Loosemore 035 751 1384</v>
      </c>
      <c r="D16" s="991"/>
      <c r="E16" s="991"/>
      <c r="F16" s="99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348</v>
      </c>
      <c r="C18" s="992" t="s">
        <v>284</v>
      </c>
      <c r="D18" s="992"/>
      <c r="E18" s="841" t="s">
        <v>349</v>
      </c>
      <c r="F18" s="840" t="s">
        <v>285</v>
      </c>
      <c r="G18" s="840" t="s">
        <v>350</v>
      </c>
      <c r="H18" s="839" t="s">
        <v>351</v>
      </c>
      <c r="I18" s="840" t="s">
        <v>352</v>
      </c>
      <c r="J18" s="831"/>
      <c r="AB18" s="833"/>
    </row>
    <row r="19" spans="2:28" ht="30.75" customHeight="1">
      <c r="B19" s="842">
        <v>1</v>
      </c>
      <c r="C19" s="988" t="s">
        <v>812</v>
      </c>
      <c r="D19" s="988"/>
      <c r="E19" s="843" t="s">
        <v>426</v>
      </c>
      <c r="F19" s="842">
        <v>1</v>
      </c>
      <c r="G19" s="842" t="s">
        <v>426</v>
      </c>
      <c r="H19" s="844">
        <v>1555444.84</v>
      </c>
      <c r="I19" s="844">
        <v>1555444.84</v>
      </c>
      <c r="J19" s="831"/>
      <c r="AB19" s="833"/>
    </row>
    <row r="20" spans="2:28" ht="30.75" customHeight="1">
      <c r="B20" s="842">
        <v>2</v>
      </c>
      <c r="C20" s="988" t="s">
        <v>31</v>
      </c>
      <c r="D20" s="988"/>
      <c r="E20" s="843" t="s">
        <v>426</v>
      </c>
      <c r="F20" s="842">
        <v>1</v>
      </c>
      <c r="G20" s="842" t="s">
        <v>426</v>
      </c>
      <c r="H20" s="844">
        <v>412102.5</v>
      </c>
      <c r="I20" s="844">
        <v>412102.5</v>
      </c>
      <c r="J20" s="831"/>
      <c r="AB20" s="833"/>
    </row>
    <row r="21" spans="2:28" ht="15" customHeight="1">
      <c r="B21" s="831"/>
      <c r="C21" s="831"/>
      <c r="D21" s="831"/>
      <c r="E21" s="831"/>
      <c r="F21" s="831"/>
      <c r="G21" s="831"/>
      <c r="H21" s="845" t="s">
        <v>353</v>
      </c>
      <c r="I21" s="846">
        <f>SUM(I19:I20)</f>
        <v>1967547.34</v>
      </c>
      <c r="J21" s="831"/>
      <c r="N21" s="833"/>
      <c r="O21" s="833"/>
      <c r="P21" s="833"/>
      <c r="Q21" s="833"/>
      <c r="R21" s="833"/>
      <c r="S21" s="833"/>
      <c r="T21" s="833"/>
      <c r="U21" s="833"/>
      <c r="V21" s="833"/>
      <c r="W21" s="833"/>
      <c r="X21" s="833"/>
      <c r="Y21" s="833"/>
      <c r="Z21" s="833"/>
      <c r="AA21" s="833"/>
      <c r="AB21" s="833"/>
    </row>
    <row r="22" spans="2:28" ht="15" customHeight="1">
      <c r="B22" s="831"/>
      <c r="C22" s="831"/>
      <c r="D22" s="831"/>
      <c r="E22" s="831"/>
      <c r="F22" s="831"/>
      <c r="G22" s="831"/>
      <c r="H22" s="845" t="s">
        <v>354</v>
      </c>
      <c r="I22" s="846">
        <f>I21*0.15</f>
        <v>295132.10100000002</v>
      </c>
      <c r="J22" s="831"/>
      <c r="N22" s="833"/>
      <c r="O22" s="833"/>
      <c r="P22" s="833"/>
      <c r="Q22" s="833"/>
      <c r="R22" s="833"/>
      <c r="S22" s="833"/>
      <c r="T22" s="833"/>
      <c r="U22" s="833"/>
      <c r="V22" s="833"/>
      <c r="W22" s="833"/>
      <c r="X22" s="833"/>
      <c r="Y22" s="833"/>
      <c r="Z22" s="833"/>
      <c r="AA22" s="833"/>
      <c r="AB22" s="833"/>
    </row>
    <row r="23" spans="2:28" ht="15" customHeight="1">
      <c r="B23" s="831"/>
      <c r="C23" s="831"/>
      <c r="D23" s="831"/>
      <c r="E23" s="831"/>
      <c r="F23" s="831"/>
      <c r="G23" s="831"/>
      <c r="H23" s="845" t="s">
        <v>355</v>
      </c>
      <c r="I23" s="846">
        <f>I22+I21</f>
        <v>2262679.4410000001</v>
      </c>
      <c r="J23" s="831"/>
      <c r="N23" s="833"/>
      <c r="O23" s="833"/>
      <c r="P23" s="833"/>
      <c r="Q23" s="833"/>
      <c r="R23" s="833"/>
      <c r="S23" s="833"/>
      <c r="T23" s="833"/>
      <c r="U23" s="833"/>
      <c r="V23" s="833"/>
      <c r="W23" s="833"/>
      <c r="X23" s="833"/>
      <c r="Y23" s="833"/>
      <c r="Z23" s="833"/>
      <c r="AA23" s="833"/>
      <c r="AB23" s="833"/>
    </row>
    <row r="24" spans="2:28">
      <c r="B24" s="831"/>
      <c r="C24" s="831"/>
      <c r="D24" s="831"/>
      <c r="E24" s="831"/>
      <c r="F24" s="831"/>
      <c r="G24" s="831"/>
      <c r="H24" s="831"/>
      <c r="I24" s="831"/>
      <c r="J24" s="831"/>
    </row>
    <row r="25" spans="2:28">
      <c r="B25" s="831"/>
      <c r="C25" s="831"/>
      <c r="D25" s="831"/>
      <c r="E25" s="831"/>
      <c r="F25" s="831"/>
      <c r="G25" s="831"/>
      <c r="H25" s="831"/>
      <c r="I25" s="831"/>
      <c r="J25" s="831"/>
    </row>
    <row r="26" spans="2:28">
      <c r="B26" s="993" t="s">
        <v>356</v>
      </c>
      <c r="C26" s="993"/>
      <c r="D26" s="994" t="s">
        <v>357</v>
      </c>
      <c r="E26" s="995"/>
      <c r="F26" s="995"/>
      <c r="G26" s="995"/>
      <c r="H26" s="995"/>
      <c r="I26" s="995"/>
      <c r="J26" s="831"/>
    </row>
    <row r="27" spans="2:28">
      <c r="B27" s="993"/>
      <c r="C27" s="993"/>
      <c r="D27" s="995"/>
      <c r="E27" s="995"/>
      <c r="F27" s="995"/>
      <c r="G27" s="995"/>
      <c r="H27" s="995"/>
      <c r="I27" s="995"/>
      <c r="J27" s="831"/>
    </row>
    <row r="28" spans="2:28">
      <c r="B28" s="993"/>
      <c r="C28" s="993"/>
      <c r="D28" s="995"/>
      <c r="E28" s="995"/>
      <c r="F28" s="995"/>
      <c r="G28" s="995"/>
      <c r="H28" s="995"/>
      <c r="I28" s="995"/>
      <c r="J28" s="831"/>
    </row>
    <row r="29" spans="2:28">
      <c r="B29" s="993"/>
      <c r="C29" s="993"/>
      <c r="D29" s="995"/>
      <c r="E29" s="995"/>
      <c r="F29" s="995"/>
      <c r="G29" s="995"/>
      <c r="H29" s="995"/>
      <c r="I29" s="995"/>
      <c r="J29" s="831"/>
    </row>
    <row r="30" spans="2:28">
      <c r="B30" s="847"/>
      <c r="C30" s="847"/>
      <c r="D30" s="831"/>
      <c r="E30" s="831"/>
      <c r="F30" s="831"/>
      <c r="G30" s="831"/>
      <c r="H30" s="831"/>
      <c r="I30" s="831"/>
      <c r="J30" s="831"/>
    </row>
    <row r="31" spans="2:28">
      <c r="B31" s="993" t="s">
        <v>358</v>
      </c>
      <c r="C31" s="993"/>
      <c r="D31" s="994" t="s">
        <v>359</v>
      </c>
      <c r="E31" s="995"/>
      <c r="F31" s="995"/>
      <c r="G31" s="995"/>
      <c r="H31" s="995"/>
      <c r="I31" s="995"/>
      <c r="J31" s="831"/>
    </row>
    <row r="32" spans="2:28">
      <c r="B32" s="993"/>
      <c r="C32" s="993"/>
      <c r="D32" s="995"/>
      <c r="E32" s="995"/>
      <c r="F32" s="995"/>
      <c r="G32" s="995"/>
      <c r="H32" s="995"/>
      <c r="I32" s="995"/>
      <c r="J32" s="831"/>
    </row>
    <row r="33" spans="2:10">
      <c r="B33" s="993"/>
      <c r="C33" s="993"/>
      <c r="D33" s="995"/>
      <c r="E33" s="995"/>
      <c r="F33" s="995"/>
      <c r="G33" s="995"/>
      <c r="H33" s="995"/>
      <c r="I33" s="995"/>
      <c r="J33" s="831"/>
    </row>
    <row r="34" spans="2:10">
      <c r="B34" s="847"/>
      <c r="C34" s="847"/>
      <c r="D34" s="831"/>
      <c r="E34" s="831"/>
      <c r="F34" s="831"/>
      <c r="G34" s="831"/>
      <c r="H34" s="831"/>
      <c r="I34" s="831"/>
      <c r="J34" s="831"/>
    </row>
    <row r="35" spans="2:10">
      <c r="B35" s="993" t="s">
        <v>8</v>
      </c>
      <c r="C35" s="993"/>
      <c r="D35" s="994" t="s">
        <v>360</v>
      </c>
      <c r="E35" s="995"/>
      <c r="F35" s="995"/>
      <c r="G35" s="995"/>
      <c r="H35" s="995"/>
      <c r="I35" s="995"/>
      <c r="J35" s="831"/>
    </row>
    <row r="36" spans="2:10">
      <c r="B36" s="993"/>
      <c r="C36" s="993"/>
      <c r="D36" s="995"/>
      <c r="E36" s="995"/>
      <c r="F36" s="995"/>
      <c r="G36" s="995"/>
      <c r="H36" s="995"/>
      <c r="I36" s="995"/>
      <c r="J36" s="831"/>
    </row>
    <row r="37" spans="2:10">
      <c r="B37" s="993"/>
      <c r="C37" s="993"/>
      <c r="D37" s="995"/>
      <c r="E37" s="995"/>
      <c r="F37" s="995"/>
      <c r="G37" s="995"/>
      <c r="H37" s="995"/>
      <c r="I37" s="995"/>
      <c r="J37" s="831"/>
    </row>
    <row r="38" spans="2:10">
      <c r="B38" s="831"/>
      <c r="C38" s="831"/>
      <c r="D38" s="831"/>
      <c r="E38" s="831"/>
      <c r="F38" s="831"/>
      <c r="G38" s="831"/>
      <c r="H38" s="831"/>
      <c r="I38" s="831"/>
      <c r="J38" s="831"/>
    </row>
    <row r="39" spans="2:10" ht="15">
      <c r="B39" s="848" t="s">
        <v>361</v>
      </c>
      <c r="C39" s="848"/>
      <c r="D39" s="835" t="s">
        <v>65</v>
      </c>
      <c r="E39" s="849"/>
      <c r="F39" s="850"/>
      <c r="G39" s="850"/>
      <c r="H39" s="851"/>
      <c r="I39" s="836">
        <f ca="1">TODAY()</f>
        <v>46078</v>
      </c>
      <c r="J39" s="831"/>
    </row>
    <row r="40" spans="2:10">
      <c r="B40" s="848"/>
      <c r="C40" s="848"/>
      <c r="D40" s="852"/>
      <c r="E40" s="853"/>
      <c r="F40" s="854"/>
      <c r="G40" s="854"/>
      <c r="H40" s="855"/>
      <c r="I40" s="856"/>
      <c r="J40" s="831"/>
    </row>
  </sheetData>
  <mergeCells count="15">
    <mergeCell ref="B31:C33"/>
    <mergeCell ref="D31:I33"/>
    <mergeCell ref="B35:C37"/>
    <mergeCell ref="D35:I37"/>
    <mergeCell ref="B26:C29"/>
    <mergeCell ref="D26:I29"/>
    <mergeCell ref="C18:D18"/>
    <mergeCell ref="C19:D19"/>
    <mergeCell ref="C20:D20"/>
    <mergeCell ref="B10:I11"/>
    <mergeCell ref="C12:F12"/>
    <mergeCell ref="C13:F13"/>
    <mergeCell ref="C14:F14"/>
    <mergeCell ref="C15:F15"/>
    <mergeCell ref="C16:F16"/>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PO4624-MON-20260213-NOSA</v>
      </c>
    </row>
    <row r="2" spans="2:28">
      <c r="M2" s="827"/>
    </row>
    <row r="3" spans="2:28">
      <c r="B3" s="828" t="s">
        <v>330</v>
      </c>
      <c r="C3" s="829" t="s">
        <v>331</v>
      </c>
      <c r="D3" s="830"/>
      <c r="E3" s="831"/>
      <c r="F3" s="831"/>
      <c r="G3" s="831"/>
      <c r="H3" s="831"/>
      <c r="I3" s="831"/>
      <c r="J3" s="831"/>
    </row>
    <row r="4" spans="2:28">
      <c r="B4" s="828" t="s">
        <v>332</v>
      </c>
      <c r="C4" s="830" t="s">
        <v>333</v>
      </c>
      <c r="D4" s="831"/>
      <c r="E4" s="831"/>
      <c r="F4" s="831"/>
      <c r="G4" s="831"/>
      <c r="H4" s="831"/>
      <c r="I4" s="831"/>
      <c r="J4" s="831"/>
    </row>
    <row r="5" spans="2:28">
      <c r="B5" s="828" t="s">
        <v>334</v>
      </c>
      <c r="C5" s="830" t="s">
        <v>335</v>
      </c>
      <c r="D5" s="831"/>
      <c r="E5" s="831"/>
      <c r="F5" s="831"/>
      <c r="G5" s="831"/>
      <c r="H5" s="831"/>
      <c r="I5" s="831"/>
      <c r="J5" s="831"/>
    </row>
    <row r="6" spans="2:28">
      <c r="B6" s="828"/>
      <c r="C6" s="830" t="s">
        <v>336</v>
      </c>
      <c r="D6" s="831"/>
      <c r="E6" s="831"/>
      <c r="F6" s="831"/>
      <c r="G6" s="831"/>
      <c r="H6" s="831"/>
      <c r="I6" s="831"/>
      <c r="J6" s="831"/>
    </row>
    <row r="7" spans="2:28">
      <c r="B7" s="828" t="s">
        <v>337</v>
      </c>
      <c r="C7" s="830" t="s">
        <v>338</v>
      </c>
      <c r="D7" s="831"/>
      <c r="E7" s="831"/>
      <c r="F7" s="831"/>
      <c r="G7" s="831"/>
      <c r="H7" s="831"/>
      <c r="I7" s="831"/>
      <c r="J7" s="831"/>
    </row>
    <row r="8" spans="2:28">
      <c r="B8" s="828" t="s">
        <v>339</v>
      </c>
      <c r="C8" s="832">
        <v>4950256638</v>
      </c>
      <c r="D8" s="831"/>
      <c r="E8" s="831"/>
      <c r="F8" s="831"/>
      <c r="G8" s="831"/>
      <c r="H8" s="831"/>
      <c r="I8" s="831"/>
      <c r="J8" s="831"/>
    </row>
    <row r="9" spans="2:28">
      <c r="B9" s="828"/>
      <c r="C9" s="830"/>
      <c r="D9" s="831"/>
      <c r="E9" s="831"/>
      <c r="F9" s="831"/>
      <c r="G9" s="831"/>
      <c r="H9" s="831"/>
      <c r="I9" s="831"/>
      <c r="J9" s="831"/>
    </row>
    <row r="10" spans="2:28" ht="15" customHeight="1">
      <c r="B10" s="989" t="s">
        <v>340</v>
      </c>
      <c r="C10" s="989"/>
      <c r="D10" s="989"/>
      <c r="E10" s="989"/>
      <c r="F10" s="989"/>
      <c r="G10" s="989"/>
      <c r="H10" s="989"/>
      <c r="I10" s="989"/>
      <c r="J10" s="831"/>
      <c r="AB10" s="833"/>
    </row>
    <row r="11" spans="2:28" ht="15" customHeight="1">
      <c r="B11" s="989"/>
      <c r="C11" s="989"/>
      <c r="D11" s="989"/>
      <c r="E11" s="989"/>
      <c r="F11" s="989"/>
      <c r="G11" s="989"/>
      <c r="H11" s="989"/>
      <c r="I11" s="989"/>
      <c r="J11" s="831"/>
      <c r="AB11" s="833"/>
    </row>
    <row r="12" spans="2:28" ht="15" customHeight="1">
      <c r="B12" s="834" t="s">
        <v>341</v>
      </c>
      <c r="C12" s="990" t="s">
        <v>813</v>
      </c>
      <c r="D12" s="990"/>
      <c r="E12" s="990"/>
      <c r="F12" s="990"/>
      <c r="G12" s="831"/>
      <c r="H12" s="834" t="s">
        <v>343</v>
      </c>
      <c r="I12" s="836">
        <f ca="1">TODAY()</f>
        <v>46078</v>
      </c>
      <c r="J12" s="831"/>
      <c r="AB12" s="833"/>
    </row>
    <row r="13" spans="2:28" ht="15" customHeight="1">
      <c r="B13" s="834" t="s">
        <v>339</v>
      </c>
      <c r="C13" s="991">
        <f>VLOOKUP($C$12,[1]Database!$A:$F,2,FALSE)</f>
        <v>4240219818</v>
      </c>
      <c r="D13" s="991"/>
      <c r="E13" s="991"/>
      <c r="F13" s="991"/>
      <c r="G13" s="831"/>
      <c r="H13" s="834" t="s">
        <v>344</v>
      </c>
      <c r="I13" s="837" t="str">
        <f>'Project Plan'!J2</f>
        <v>Mondi</v>
      </c>
      <c r="J13" s="831"/>
      <c r="AB13" s="833"/>
    </row>
    <row r="14" spans="2:28" ht="15" customHeight="1">
      <c r="B14" s="834" t="s">
        <v>345</v>
      </c>
      <c r="C14" s="991" t="str">
        <f>VLOOKUP($C$12,[1]Database!$A:$F,3,FALSE)</f>
        <v>Block E, Lakefield Office Park,272 West Ave,</v>
      </c>
      <c r="D14" s="991"/>
      <c r="E14" s="991"/>
      <c r="F14" s="991"/>
      <c r="G14" s="831"/>
      <c r="H14" s="834" t="s">
        <v>346</v>
      </c>
      <c r="I14" s="838" t="s">
        <v>814</v>
      </c>
      <c r="J14" s="831"/>
      <c r="AB14" s="833"/>
    </row>
    <row r="15" spans="2:28" ht="15" customHeight="1">
      <c r="B15" s="834"/>
      <c r="C15" s="991" t="str">
        <f>VLOOKUP($C$12,[1]Database!$A:$F,4,FALSE)</f>
        <v>Centurion, 0157</v>
      </c>
      <c r="D15" s="991"/>
      <c r="E15" s="991"/>
      <c r="F15" s="991"/>
      <c r="G15" s="831"/>
      <c r="J15" s="831"/>
      <c r="AB15" s="833"/>
    </row>
    <row r="16" spans="2:28" ht="15" customHeight="1">
      <c r="B16" s="834" t="s">
        <v>347</v>
      </c>
      <c r="C16" s="991" t="str">
        <f>VLOOKUP($C$12,[1]Database!$A:$F,5,FALSE)&amp;" "&amp;VLOOKUP($C$12,[1]Database!$A:$F,6,FALSE)</f>
        <v>Vaunee Poirier 087 286 8222</v>
      </c>
      <c r="D16" s="991"/>
      <c r="E16" s="991"/>
      <c r="F16" s="99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348</v>
      </c>
      <c r="C18" s="992" t="s">
        <v>284</v>
      </c>
      <c r="D18" s="992"/>
      <c r="E18" s="841" t="s">
        <v>349</v>
      </c>
      <c r="F18" s="840" t="s">
        <v>285</v>
      </c>
      <c r="G18" s="840" t="s">
        <v>350</v>
      </c>
      <c r="H18" s="839" t="s">
        <v>351</v>
      </c>
      <c r="I18" s="840" t="s">
        <v>352</v>
      </c>
      <c r="J18" s="831"/>
      <c r="AB18" s="833"/>
    </row>
    <row r="19" spans="2:28" ht="30.75" customHeight="1">
      <c r="B19" s="842">
        <v>1</v>
      </c>
      <c r="C19" s="988" t="s">
        <v>815</v>
      </c>
      <c r="D19" s="988"/>
      <c r="E19" s="843"/>
      <c r="F19" s="842">
        <v>16</v>
      </c>
      <c r="G19" s="842"/>
      <c r="H19" s="844">
        <v>1625</v>
      </c>
      <c r="I19" s="844">
        <f>H19*F19</f>
        <v>26000</v>
      </c>
      <c r="J19" s="831"/>
      <c r="AB19" s="833"/>
    </row>
    <row r="20" spans="2:28" ht="30.75" customHeight="1">
      <c r="B20" s="842">
        <v>2</v>
      </c>
      <c r="C20" s="988" t="s">
        <v>816</v>
      </c>
      <c r="D20" s="988"/>
      <c r="E20" s="843"/>
      <c r="F20" s="842">
        <v>2</v>
      </c>
      <c r="G20" s="842"/>
      <c r="H20" s="844">
        <v>1625</v>
      </c>
      <c r="I20" s="844">
        <f>H20*F20</f>
        <v>3250</v>
      </c>
      <c r="J20" s="831"/>
      <c r="AB20" s="833"/>
    </row>
    <row r="21" spans="2:28" ht="30.75" customHeight="1">
      <c r="B21" s="842">
        <v>3</v>
      </c>
      <c r="C21" s="988" t="s">
        <v>817</v>
      </c>
      <c r="D21" s="988"/>
      <c r="E21" s="843"/>
      <c r="F21" s="842">
        <v>1</v>
      </c>
      <c r="G21" s="842"/>
      <c r="H21" s="844">
        <v>1282</v>
      </c>
      <c r="I21" s="844">
        <f>H21*F21</f>
        <v>1282</v>
      </c>
      <c r="J21" s="831"/>
      <c r="AB21" s="833"/>
    </row>
    <row r="22" spans="2:28" ht="30.75" customHeight="1">
      <c r="B22" s="842">
        <v>4</v>
      </c>
      <c r="C22" s="988" t="s">
        <v>818</v>
      </c>
      <c r="D22" s="988"/>
      <c r="E22" s="843"/>
      <c r="F22" s="842">
        <v>70</v>
      </c>
      <c r="G22" s="842"/>
      <c r="H22" s="844">
        <v>7.4</v>
      </c>
      <c r="I22" s="844">
        <f>H22*F22</f>
        <v>518</v>
      </c>
      <c r="J22" s="831"/>
      <c r="AB22" s="833"/>
    </row>
    <row r="23" spans="2:28" ht="15" customHeight="1">
      <c r="B23" s="831"/>
      <c r="C23" s="831"/>
      <c r="D23" s="831"/>
      <c r="E23" s="831"/>
      <c r="F23" s="831"/>
      <c r="G23" s="831"/>
      <c r="H23" s="845" t="s">
        <v>353</v>
      </c>
      <c r="I23" s="846">
        <f>SUM(I19:I22)</f>
        <v>31050</v>
      </c>
      <c r="J23" s="831"/>
      <c r="N23" s="833"/>
      <c r="O23" s="833"/>
      <c r="P23" s="833"/>
      <c r="Q23" s="833"/>
      <c r="R23" s="833"/>
      <c r="S23" s="833"/>
      <c r="T23" s="833"/>
      <c r="U23" s="833"/>
      <c r="V23" s="833"/>
      <c r="W23" s="833"/>
      <c r="X23" s="833"/>
      <c r="Y23" s="833"/>
      <c r="Z23" s="833"/>
      <c r="AA23" s="833"/>
      <c r="AB23" s="833"/>
    </row>
    <row r="24" spans="2:28" ht="15" customHeight="1">
      <c r="B24" s="831"/>
      <c r="C24" s="831"/>
      <c r="D24" s="831"/>
      <c r="E24" s="831"/>
      <c r="F24" s="831"/>
      <c r="G24" s="831"/>
      <c r="H24" s="845" t="s">
        <v>354</v>
      </c>
      <c r="I24" s="846">
        <f>I23*0.15</f>
        <v>4657.5</v>
      </c>
      <c r="J24" s="831"/>
      <c r="N24" s="833"/>
      <c r="O24" s="833"/>
      <c r="P24" s="833"/>
      <c r="Q24" s="833"/>
      <c r="R24" s="833"/>
      <c r="S24" s="833"/>
      <c r="T24" s="833"/>
      <c r="U24" s="833"/>
      <c r="V24" s="833"/>
      <c r="W24" s="833"/>
      <c r="X24" s="833"/>
      <c r="Y24" s="833"/>
      <c r="Z24" s="833"/>
      <c r="AA24" s="833"/>
      <c r="AB24" s="833"/>
    </row>
    <row r="25" spans="2:28" ht="15" customHeight="1">
      <c r="B25" s="831"/>
      <c r="C25" s="831"/>
      <c r="D25" s="831"/>
      <c r="E25" s="831"/>
      <c r="F25" s="831"/>
      <c r="G25" s="831"/>
      <c r="H25" s="845" t="s">
        <v>355</v>
      </c>
      <c r="I25" s="846">
        <f>I24+I23</f>
        <v>35707.5</v>
      </c>
      <c r="J25" s="831"/>
      <c r="N25" s="833"/>
      <c r="O25" s="833"/>
      <c r="P25" s="833"/>
      <c r="Q25" s="833"/>
      <c r="R25" s="833"/>
      <c r="S25" s="833"/>
      <c r="T25" s="833"/>
      <c r="U25" s="833"/>
      <c r="V25" s="833"/>
      <c r="W25" s="833"/>
      <c r="X25" s="833"/>
      <c r="Y25" s="833"/>
      <c r="Z25" s="833"/>
      <c r="AA25" s="833"/>
      <c r="AB25" s="833"/>
    </row>
    <row r="26" spans="2:28">
      <c r="B26" s="831"/>
      <c r="C26" s="831"/>
      <c r="D26" s="831"/>
      <c r="E26" s="831"/>
      <c r="F26" s="831"/>
      <c r="G26" s="831"/>
      <c r="H26" s="831"/>
      <c r="I26" s="831"/>
      <c r="J26" s="831"/>
    </row>
    <row r="27" spans="2:28">
      <c r="B27" s="831"/>
      <c r="C27" s="831"/>
      <c r="D27" s="831"/>
      <c r="E27" s="831"/>
      <c r="F27" s="831"/>
      <c r="G27" s="831"/>
      <c r="H27" s="831"/>
      <c r="I27" s="831"/>
      <c r="J27" s="831"/>
    </row>
    <row r="28" spans="2:28">
      <c r="B28" s="993" t="s">
        <v>356</v>
      </c>
      <c r="C28" s="993"/>
      <c r="D28" s="994" t="s">
        <v>819</v>
      </c>
      <c r="E28" s="995"/>
      <c r="F28" s="995"/>
      <c r="G28" s="995"/>
      <c r="H28" s="995"/>
      <c r="I28" s="995"/>
      <c r="J28" s="831"/>
    </row>
    <row r="29" spans="2:28">
      <c r="B29" s="993"/>
      <c r="C29" s="993"/>
      <c r="D29" s="995"/>
      <c r="E29" s="995"/>
      <c r="F29" s="995"/>
      <c r="G29" s="995"/>
      <c r="H29" s="995"/>
      <c r="I29" s="995"/>
      <c r="J29" s="831"/>
    </row>
    <row r="30" spans="2:28">
      <c r="B30" s="993"/>
      <c r="C30" s="993"/>
      <c r="D30" s="995"/>
      <c r="E30" s="995"/>
      <c r="F30" s="995"/>
      <c r="G30" s="995"/>
      <c r="H30" s="995"/>
      <c r="I30" s="995"/>
      <c r="J30" s="831"/>
    </row>
    <row r="31" spans="2:28">
      <c r="B31" s="993"/>
      <c r="C31" s="993"/>
      <c r="D31" s="995"/>
      <c r="E31" s="995"/>
      <c r="F31" s="995"/>
      <c r="G31" s="995"/>
      <c r="H31" s="995"/>
      <c r="I31" s="995"/>
      <c r="J31" s="831"/>
    </row>
    <row r="32" spans="2:28">
      <c r="B32" s="847"/>
      <c r="C32" s="847"/>
      <c r="D32" s="831"/>
      <c r="E32" s="831"/>
      <c r="F32" s="831"/>
      <c r="G32" s="831"/>
      <c r="H32" s="831"/>
      <c r="I32" s="831"/>
      <c r="J32" s="831"/>
    </row>
    <row r="33" spans="2:10">
      <c r="B33" s="993" t="s">
        <v>358</v>
      </c>
      <c r="C33" s="993"/>
      <c r="D33" s="994" t="s">
        <v>359</v>
      </c>
      <c r="E33" s="995"/>
      <c r="F33" s="995"/>
      <c r="G33" s="995"/>
      <c r="H33" s="995"/>
      <c r="I33" s="995"/>
      <c r="J33" s="831"/>
    </row>
    <row r="34" spans="2:10">
      <c r="B34" s="993"/>
      <c r="C34" s="993"/>
      <c r="D34" s="995"/>
      <c r="E34" s="995"/>
      <c r="F34" s="995"/>
      <c r="G34" s="995"/>
      <c r="H34" s="995"/>
      <c r="I34" s="995"/>
      <c r="J34" s="831"/>
    </row>
    <row r="35" spans="2:10">
      <c r="B35" s="993"/>
      <c r="C35" s="993"/>
      <c r="D35" s="995"/>
      <c r="E35" s="995"/>
      <c r="F35" s="995"/>
      <c r="G35" s="995"/>
      <c r="H35" s="995"/>
      <c r="I35" s="995"/>
      <c r="J35" s="831"/>
    </row>
    <row r="36" spans="2:10">
      <c r="B36" s="847"/>
      <c r="C36" s="847"/>
      <c r="D36" s="831"/>
      <c r="E36" s="831"/>
      <c r="F36" s="831"/>
      <c r="G36" s="831"/>
      <c r="H36" s="831"/>
      <c r="I36" s="831"/>
      <c r="J36" s="831"/>
    </row>
    <row r="37" spans="2:10">
      <c r="B37" s="993" t="s">
        <v>8</v>
      </c>
      <c r="C37" s="993"/>
      <c r="D37" s="994" t="s">
        <v>360</v>
      </c>
      <c r="E37" s="995"/>
      <c r="F37" s="995"/>
      <c r="G37" s="995"/>
      <c r="H37" s="995"/>
      <c r="I37" s="995"/>
      <c r="J37" s="831"/>
    </row>
    <row r="38" spans="2:10">
      <c r="B38" s="993"/>
      <c r="C38" s="993"/>
      <c r="D38" s="995"/>
      <c r="E38" s="995"/>
      <c r="F38" s="995"/>
      <c r="G38" s="995"/>
      <c r="H38" s="995"/>
      <c r="I38" s="995"/>
      <c r="J38" s="831"/>
    </row>
    <row r="39" spans="2:10">
      <c r="B39" s="993"/>
      <c r="C39" s="993"/>
      <c r="D39" s="995"/>
      <c r="E39" s="995"/>
      <c r="F39" s="995"/>
      <c r="G39" s="995"/>
      <c r="H39" s="995"/>
      <c r="I39" s="995"/>
      <c r="J39" s="831"/>
    </row>
    <row r="40" spans="2:10">
      <c r="B40" s="831"/>
      <c r="C40" s="831"/>
      <c r="D40" s="831"/>
      <c r="E40" s="831"/>
      <c r="F40" s="831"/>
      <c r="G40" s="831"/>
      <c r="H40" s="831"/>
      <c r="I40" s="831"/>
      <c r="J40" s="831"/>
    </row>
    <row r="41" spans="2:10" ht="15">
      <c r="B41" s="848" t="s">
        <v>361</v>
      </c>
      <c r="C41" s="848"/>
      <c r="D41" s="835" t="s">
        <v>362</v>
      </c>
      <c r="E41" s="849"/>
      <c r="F41" s="850"/>
      <c r="G41" s="850"/>
      <c r="H41" s="851"/>
      <c r="I41" s="836">
        <f ca="1">TODAY()</f>
        <v>46078</v>
      </c>
      <c r="J41" s="831"/>
    </row>
    <row r="42" spans="2:10">
      <c r="B42" s="848"/>
      <c r="C42" s="848"/>
      <c r="D42" s="852"/>
      <c r="E42" s="853"/>
      <c r="F42" s="854"/>
      <c r="G42" s="854"/>
      <c r="H42" s="855"/>
      <c r="I42" s="856"/>
      <c r="J42" s="831"/>
    </row>
  </sheetData>
  <mergeCells count="17">
    <mergeCell ref="B33:C35"/>
    <mergeCell ref="D33:I35"/>
    <mergeCell ref="B37:C39"/>
    <mergeCell ref="D37:I39"/>
    <mergeCell ref="B28:C31"/>
    <mergeCell ref="D28:I31"/>
    <mergeCell ref="C18:D18"/>
    <mergeCell ref="C19:D19"/>
    <mergeCell ref="C20:D20"/>
    <mergeCell ref="C21:D21"/>
    <mergeCell ref="C22:D22"/>
    <mergeCell ref="C16:F16"/>
    <mergeCell ref="B10:I11"/>
    <mergeCell ref="C12:F12"/>
    <mergeCell ref="C13:F13"/>
    <mergeCell ref="C14:F14"/>
    <mergeCell ref="C15:F15"/>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2.36328125" style="734" customWidth="1"/>
    <col min="10" max="10" width="3.453125" style="734" customWidth="1"/>
    <col min="11" max="16384" width="9.08984375" style="734"/>
  </cols>
  <sheetData>
    <row r="1" spans="2:28">
      <c r="M1" s="734" t="s">
        <v>329</v>
      </c>
      <c r="O1" s="734" t="str">
        <f>I14&amp;"-"&amp;C12</f>
        <v>PO4633-MON-20260219-ABB Switchgear</v>
      </c>
    </row>
    <row r="2" spans="2:28">
      <c r="M2" s="827"/>
    </row>
    <row r="3" spans="2:28">
      <c r="B3" s="828" t="s">
        <v>330</v>
      </c>
      <c r="C3" s="829" t="s">
        <v>331</v>
      </c>
      <c r="D3" s="830"/>
      <c r="E3" s="831"/>
      <c r="F3" s="831"/>
      <c r="G3" s="831"/>
      <c r="H3" s="831"/>
      <c r="I3" s="831"/>
      <c r="J3" s="831"/>
    </row>
    <row r="4" spans="2:28">
      <c r="B4" s="828" t="s">
        <v>332</v>
      </c>
      <c r="C4" s="830" t="s">
        <v>333</v>
      </c>
      <c r="D4" s="831"/>
      <c r="E4" s="831"/>
      <c r="F4" s="831"/>
      <c r="G4" s="831"/>
      <c r="H4" s="831"/>
      <c r="I4" s="831"/>
      <c r="J4" s="831"/>
    </row>
    <row r="5" spans="2:28">
      <c r="B5" s="828" t="s">
        <v>334</v>
      </c>
      <c r="C5" s="830" t="s">
        <v>335</v>
      </c>
      <c r="D5" s="831"/>
      <c r="E5" s="831"/>
      <c r="F5" s="831"/>
      <c r="G5" s="831"/>
      <c r="H5" s="831"/>
      <c r="I5" s="831"/>
      <c r="J5" s="831"/>
    </row>
    <row r="6" spans="2:28">
      <c r="B6" s="828"/>
      <c r="C6" s="830" t="s">
        <v>336</v>
      </c>
      <c r="D6" s="831"/>
      <c r="E6" s="831"/>
      <c r="F6" s="831"/>
      <c r="G6" s="831"/>
      <c r="H6" s="831"/>
      <c r="I6" s="831"/>
      <c r="J6" s="831"/>
    </row>
    <row r="7" spans="2:28">
      <c r="B7" s="828" t="s">
        <v>337</v>
      </c>
      <c r="C7" s="830" t="s">
        <v>338</v>
      </c>
      <c r="D7" s="831"/>
      <c r="E7" s="831"/>
      <c r="F7" s="831"/>
      <c r="G7" s="831"/>
      <c r="H7" s="831"/>
      <c r="I7" s="831"/>
      <c r="J7" s="831"/>
    </row>
    <row r="8" spans="2:28">
      <c r="B8" s="828" t="s">
        <v>339</v>
      </c>
      <c r="C8" s="832">
        <v>4950256638</v>
      </c>
      <c r="D8" s="831"/>
      <c r="E8" s="831"/>
      <c r="F8" s="831"/>
      <c r="G8" s="831"/>
      <c r="H8" s="831"/>
      <c r="I8" s="831"/>
      <c r="J8" s="831"/>
    </row>
    <row r="9" spans="2:28">
      <c r="B9" s="828"/>
      <c r="C9" s="830"/>
      <c r="D9" s="831"/>
      <c r="E9" s="831"/>
      <c r="F9" s="831"/>
      <c r="G9" s="831"/>
      <c r="H9" s="831"/>
      <c r="I9" s="831"/>
      <c r="J9" s="831"/>
    </row>
    <row r="10" spans="2:28" ht="15" customHeight="1">
      <c r="B10" s="989" t="s">
        <v>340</v>
      </c>
      <c r="C10" s="989"/>
      <c r="D10" s="989"/>
      <c r="E10" s="989"/>
      <c r="F10" s="989"/>
      <c r="G10" s="989"/>
      <c r="H10" s="989"/>
      <c r="I10" s="989"/>
      <c r="J10" s="831"/>
      <c r="AB10" s="833"/>
    </row>
    <row r="11" spans="2:28" ht="15" customHeight="1">
      <c r="B11" s="989"/>
      <c r="C11" s="989"/>
      <c r="D11" s="989"/>
      <c r="E11" s="989"/>
      <c r="F11" s="989"/>
      <c r="G11" s="989"/>
      <c r="H11" s="989"/>
      <c r="I11" s="989"/>
      <c r="J11" s="831"/>
      <c r="AB11" s="833"/>
    </row>
    <row r="12" spans="2:28" ht="15" customHeight="1">
      <c r="B12" s="834" t="s">
        <v>341</v>
      </c>
      <c r="C12" s="990" t="s">
        <v>820</v>
      </c>
      <c r="D12" s="990"/>
      <c r="E12" s="990"/>
      <c r="F12" s="990"/>
      <c r="G12" s="831"/>
      <c r="H12" s="834" t="s">
        <v>343</v>
      </c>
      <c r="I12" s="836">
        <f ca="1">TODAY()</f>
        <v>46078</v>
      </c>
      <c r="J12" s="831"/>
      <c r="AB12" s="833"/>
    </row>
    <row r="13" spans="2:28" ht="15" customHeight="1">
      <c r="B13" s="834" t="s">
        <v>339</v>
      </c>
      <c r="C13" s="991">
        <f>VLOOKUP($C$12,[1]Database!$A:$F,2,FALSE)</f>
        <v>4090136104</v>
      </c>
      <c r="D13" s="991"/>
      <c r="E13" s="991"/>
      <c r="F13" s="991"/>
      <c r="G13" s="831"/>
      <c r="H13" s="834" t="s">
        <v>344</v>
      </c>
      <c r="I13" s="837" t="str">
        <f>'Project Plan'!J2</f>
        <v>Mondi</v>
      </c>
      <c r="J13" s="831"/>
      <c r="AB13" s="833"/>
    </row>
    <row r="14" spans="2:28" ht="15" customHeight="1">
      <c r="B14" s="834" t="s">
        <v>345</v>
      </c>
      <c r="C14" s="991" t="str">
        <f>VLOOKUP($C$12,[1]Database!$A:$F,3,FALSE)</f>
        <v>2 Lake Road,</v>
      </c>
      <c r="D14" s="991"/>
      <c r="E14" s="991"/>
      <c r="F14" s="991"/>
      <c r="G14" s="831"/>
      <c r="H14" s="834" t="s">
        <v>346</v>
      </c>
      <c r="I14" s="838" t="s">
        <v>821</v>
      </c>
      <c r="J14" s="831"/>
      <c r="AB14" s="833"/>
    </row>
    <row r="15" spans="2:28" ht="15" customHeight="1">
      <c r="B15" s="834"/>
      <c r="C15" s="991" t="str">
        <f>VLOOKUP($C$12,[1]Database!$A:$F,4,FALSE)</f>
        <v>Edenvale, Gauteng, RSA,</v>
      </c>
      <c r="D15" s="991"/>
      <c r="E15" s="991"/>
      <c r="F15" s="991"/>
      <c r="G15" s="831"/>
      <c r="J15" s="831"/>
      <c r="AB15" s="833"/>
    </row>
    <row r="16" spans="2:28" ht="15" customHeight="1">
      <c r="B16" s="834" t="s">
        <v>347</v>
      </c>
      <c r="C16" s="991" t="str">
        <f>VLOOKUP($C$12,[1]Database!$A:$F,5,FALSE)&amp;" "&amp;VLOOKUP($C$12,[1]Database!$A:$F,6,FALSE)</f>
        <v>Brain Ngoveni +27 84 404 1927</v>
      </c>
      <c r="D16" s="991"/>
      <c r="E16" s="991"/>
      <c r="F16" s="99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348</v>
      </c>
      <c r="C18" s="992" t="s">
        <v>284</v>
      </c>
      <c r="D18" s="992"/>
      <c r="E18" s="841" t="s">
        <v>349</v>
      </c>
      <c r="F18" s="840" t="s">
        <v>285</v>
      </c>
      <c r="G18" s="840" t="s">
        <v>350</v>
      </c>
      <c r="H18" s="839" t="s">
        <v>351</v>
      </c>
      <c r="I18" s="840" t="s">
        <v>352</v>
      </c>
      <c r="J18" s="831"/>
      <c r="AB18" s="833"/>
    </row>
    <row r="19" spans="2:28" ht="43.5" customHeight="1">
      <c r="B19" s="842">
        <v>1</v>
      </c>
      <c r="C19" s="988" t="s">
        <v>822</v>
      </c>
      <c r="D19" s="988"/>
      <c r="E19" s="843"/>
      <c r="F19" s="842">
        <v>1</v>
      </c>
      <c r="G19" s="842"/>
      <c r="H19" s="844">
        <v>215379</v>
      </c>
      <c r="I19" s="844">
        <f t="shared" ref="I19:I27" si="0">H19*F19</f>
        <v>215379</v>
      </c>
      <c r="J19" s="831"/>
      <c r="AB19" s="833"/>
    </row>
    <row r="20" spans="2:28" ht="30.75" customHeight="1">
      <c r="B20" s="842">
        <v>2</v>
      </c>
      <c r="C20" s="988" t="s">
        <v>823</v>
      </c>
      <c r="D20" s="988"/>
      <c r="E20" s="843"/>
      <c r="F20" s="842">
        <v>1</v>
      </c>
      <c r="G20" s="842"/>
      <c r="H20" s="844">
        <v>12680</v>
      </c>
      <c r="I20" s="844">
        <f t="shared" si="0"/>
        <v>12680</v>
      </c>
      <c r="J20" s="831"/>
      <c r="AB20" s="833"/>
    </row>
    <row r="21" spans="2:28" ht="47.15" customHeight="1">
      <c r="B21" s="842">
        <v>3</v>
      </c>
      <c r="C21" s="988" t="s">
        <v>824</v>
      </c>
      <c r="D21" s="988"/>
      <c r="E21" s="843"/>
      <c r="F21" s="842">
        <v>1</v>
      </c>
      <c r="G21" s="842"/>
      <c r="H21" s="844">
        <v>359150</v>
      </c>
      <c r="I21" s="844">
        <f t="shared" si="0"/>
        <v>359150</v>
      </c>
      <c r="J21" s="831"/>
      <c r="AB21" s="833"/>
    </row>
    <row r="22" spans="2:28" ht="47.4" customHeight="1">
      <c r="B22" s="842">
        <v>4</v>
      </c>
      <c r="C22" s="988" t="s">
        <v>825</v>
      </c>
      <c r="D22" s="988"/>
      <c r="E22" s="843"/>
      <c r="F22" s="842">
        <v>1</v>
      </c>
      <c r="G22" s="842"/>
      <c r="H22" s="844">
        <v>109224</v>
      </c>
      <c r="I22" s="844">
        <f t="shared" si="0"/>
        <v>109224</v>
      </c>
      <c r="J22" s="831"/>
      <c r="AB22" s="833"/>
    </row>
    <row r="23" spans="2:28" ht="30.75" customHeight="1">
      <c r="B23" s="842">
        <v>5</v>
      </c>
      <c r="C23" s="988" t="s">
        <v>826</v>
      </c>
      <c r="D23" s="988"/>
      <c r="E23" s="843"/>
      <c r="F23" s="842">
        <v>1</v>
      </c>
      <c r="G23" s="842"/>
      <c r="H23" s="844">
        <v>70844</v>
      </c>
      <c r="I23" s="844">
        <f t="shared" si="0"/>
        <v>70844</v>
      </c>
      <c r="J23" s="831"/>
      <c r="AB23" s="833"/>
    </row>
    <row r="24" spans="2:28" ht="30.75" customHeight="1">
      <c r="B24" s="842">
        <v>6</v>
      </c>
      <c r="C24" s="988"/>
      <c r="D24" s="988"/>
      <c r="E24" s="843"/>
      <c r="F24" s="842"/>
      <c r="G24" s="842"/>
      <c r="H24" s="844"/>
      <c r="I24" s="844">
        <f t="shared" si="0"/>
        <v>0</v>
      </c>
      <c r="J24" s="831"/>
      <c r="AB24" s="833"/>
    </row>
    <row r="25" spans="2:28" ht="30.75" customHeight="1">
      <c r="B25" s="842">
        <v>7</v>
      </c>
      <c r="C25" s="988"/>
      <c r="D25" s="988"/>
      <c r="E25" s="843"/>
      <c r="F25" s="842"/>
      <c r="G25" s="842"/>
      <c r="H25" s="844"/>
      <c r="I25" s="844">
        <f t="shared" si="0"/>
        <v>0</v>
      </c>
      <c r="J25" s="831"/>
      <c r="AB25" s="833"/>
    </row>
    <row r="26" spans="2:28" ht="30.75" customHeight="1">
      <c r="B26" s="842">
        <v>8</v>
      </c>
      <c r="C26" s="988"/>
      <c r="D26" s="988"/>
      <c r="E26" s="843"/>
      <c r="F26" s="842"/>
      <c r="G26" s="842"/>
      <c r="H26" s="844"/>
      <c r="I26" s="844">
        <f t="shared" si="0"/>
        <v>0</v>
      </c>
      <c r="J26" s="831"/>
      <c r="AB26" s="833"/>
    </row>
    <row r="27" spans="2:28" ht="30.75" customHeight="1">
      <c r="B27" s="842">
        <v>9</v>
      </c>
      <c r="C27" s="988"/>
      <c r="D27" s="988"/>
      <c r="E27" s="843"/>
      <c r="F27" s="842"/>
      <c r="G27" s="842"/>
      <c r="H27" s="844"/>
      <c r="I27" s="844">
        <f t="shared" si="0"/>
        <v>0</v>
      </c>
      <c r="J27" s="831"/>
      <c r="AB27" s="833"/>
    </row>
    <row r="28" spans="2:28" ht="15" customHeight="1">
      <c r="B28" s="831"/>
      <c r="C28" s="831"/>
      <c r="D28" s="831"/>
      <c r="E28" s="831"/>
      <c r="F28" s="831"/>
      <c r="G28" s="831"/>
      <c r="H28" s="845" t="s">
        <v>353</v>
      </c>
      <c r="I28" s="846">
        <f>SUM(I19:I27)</f>
        <v>767277</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354</v>
      </c>
      <c r="I29" s="846">
        <f>I28*0.15</f>
        <v>115091.55</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355</v>
      </c>
      <c r="I30" s="846">
        <f>I29+I28</f>
        <v>882368.55</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93" t="s">
        <v>356</v>
      </c>
      <c r="C33" s="993"/>
      <c r="D33" s="994" t="s">
        <v>827</v>
      </c>
      <c r="E33" s="995"/>
      <c r="F33" s="995"/>
      <c r="G33" s="995"/>
      <c r="H33" s="995"/>
      <c r="I33" s="995"/>
      <c r="J33" s="831"/>
    </row>
    <row r="34" spans="2:10">
      <c r="B34" s="993"/>
      <c r="C34" s="993"/>
      <c r="D34" s="995"/>
      <c r="E34" s="995"/>
      <c r="F34" s="995"/>
      <c r="G34" s="995"/>
      <c r="H34" s="995"/>
      <c r="I34" s="995"/>
      <c r="J34" s="831"/>
    </row>
    <row r="35" spans="2:10">
      <c r="B35" s="993"/>
      <c r="C35" s="993"/>
      <c r="D35" s="995"/>
      <c r="E35" s="995"/>
      <c r="F35" s="995"/>
      <c r="G35" s="995"/>
      <c r="H35" s="995"/>
      <c r="I35" s="995"/>
      <c r="J35" s="831"/>
    </row>
    <row r="36" spans="2:10">
      <c r="B36" s="993"/>
      <c r="C36" s="993"/>
      <c r="D36" s="995"/>
      <c r="E36" s="995"/>
      <c r="F36" s="995"/>
      <c r="G36" s="995"/>
      <c r="H36" s="995"/>
      <c r="I36" s="995"/>
      <c r="J36" s="831"/>
    </row>
    <row r="37" spans="2:10">
      <c r="B37" s="847"/>
      <c r="C37" s="847"/>
      <c r="D37" s="831"/>
      <c r="E37" s="831"/>
      <c r="F37" s="831"/>
      <c r="G37" s="831"/>
      <c r="H37" s="831"/>
      <c r="I37" s="831"/>
      <c r="J37" s="831"/>
    </row>
    <row r="38" spans="2:10">
      <c r="B38" s="993" t="s">
        <v>358</v>
      </c>
      <c r="C38" s="993"/>
      <c r="D38" s="994" t="s">
        <v>359</v>
      </c>
      <c r="E38" s="995"/>
      <c r="F38" s="995"/>
      <c r="G38" s="995"/>
      <c r="H38" s="995"/>
      <c r="I38" s="995"/>
      <c r="J38" s="831"/>
    </row>
    <row r="39" spans="2:10">
      <c r="B39" s="993"/>
      <c r="C39" s="993"/>
      <c r="D39" s="995"/>
      <c r="E39" s="995"/>
      <c r="F39" s="995"/>
      <c r="G39" s="995"/>
      <c r="H39" s="995"/>
      <c r="I39" s="995"/>
      <c r="J39" s="831"/>
    </row>
    <row r="40" spans="2:10">
      <c r="B40" s="993"/>
      <c r="C40" s="993"/>
      <c r="D40" s="995"/>
      <c r="E40" s="995"/>
      <c r="F40" s="995"/>
      <c r="G40" s="995"/>
      <c r="H40" s="995"/>
      <c r="I40" s="995"/>
      <c r="J40" s="831"/>
    </row>
    <row r="41" spans="2:10">
      <c r="B41" s="847"/>
      <c r="C41" s="847"/>
      <c r="D41" s="831"/>
      <c r="E41" s="831"/>
      <c r="F41" s="831"/>
      <c r="G41" s="831"/>
      <c r="H41" s="831"/>
      <c r="I41" s="831"/>
      <c r="J41" s="831"/>
    </row>
    <row r="42" spans="2:10">
      <c r="B42" s="993" t="s">
        <v>8</v>
      </c>
      <c r="C42" s="993"/>
      <c r="D42" s="994" t="s">
        <v>360</v>
      </c>
      <c r="E42" s="995"/>
      <c r="F42" s="995"/>
      <c r="G42" s="995"/>
      <c r="H42" s="995"/>
      <c r="I42" s="995"/>
      <c r="J42" s="831"/>
    </row>
    <row r="43" spans="2:10">
      <c r="B43" s="993"/>
      <c r="C43" s="993"/>
      <c r="D43" s="995"/>
      <c r="E43" s="995"/>
      <c r="F43" s="995"/>
      <c r="G43" s="995"/>
      <c r="H43" s="995"/>
      <c r="I43" s="995"/>
      <c r="J43" s="831"/>
    </row>
    <row r="44" spans="2:10">
      <c r="B44" s="993"/>
      <c r="C44" s="993"/>
      <c r="D44" s="995"/>
      <c r="E44" s="995"/>
      <c r="F44" s="995"/>
      <c r="G44" s="995"/>
      <c r="H44" s="995"/>
      <c r="I44" s="995"/>
      <c r="J44" s="831"/>
    </row>
    <row r="45" spans="2:10">
      <c r="B45" s="831"/>
      <c r="C45" s="831"/>
      <c r="D45" s="831"/>
      <c r="E45" s="831"/>
      <c r="F45" s="831"/>
      <c r="G45" s="831"/>
      <c r="H45" s="831"/>
      <c r="I45" s="831"/>
      <c r="J45" s="831"/>
    </row>
    <row r="46" spans="2:10" ht="15">
      <c r="B46" s="848" t="s">
        <v>361</v>
      </c>
      <c r="C46" s="848"/>
      <c r="D46" s="835" t="s">
        <v>362</v>
      </c>
      <c r="E46" s="849"/>
      <c r="F46" s="850"/>
      <c r="G46" s="850"/>
      <c r="H46" s="851"/>
      <c r="I46" s="836">
        <f ca="1">TODAY()</f>
        <v>46078</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2.36328125" style="734" customWidth="1"/>
    <col min="10" max="10" width="3.453125" style="734" customWidth="1"/>
    <col min="11" max="16384" width="9.08984375" style="734"/>
  </cols>
  <sheetData>
    <row r="1" spans="2:28">
      <c r="M1" s="734" t="s">
        <v>329</v>
      </c>
      <c r="O1" s="734" t="str">
        <f>I14&amp;"-"&amp;C12</f>
        <v>PO4632-MON-20260219-ABB Switchgear</v>
      </c>
    </row>
    <row r="2" spans="2:28">
      <c r="M2" s="827"/>
    </row>
    <row r="3" spans="2:28">
      <c r="B3" s="828" t="s">
        <v>330</v>
      </c>
      <c r="C3" s="829" t="s">
        <v>331</v>
      </c>
      <c r="D3" s="830"/>
      <c r="E3" s="831"/>
      <c r="F3" s="831"/>
      <c r="G3" s="831"/>
      <c r="H3" s="831"/>
      <c r="I3" s="831"/>
      <c r="J3" s="831"/>
    </row>
    <row r="4" spans="2:28">
      <c r="B4" s="828" t="s">
        <v>332</v>
      </c>
      <c r="C4" s="830" t="s">
        <v>333</v>
      </c>
      <c r="D4" s="831"/>
      <c r="E4" s="831"/>
      <c r="F4" s="831"/>
      <c r="G4" s="831"/>
      <c r="H4" s="831"/>
      <c r="I4" s="831"/>
      <c r="J4" s="831"/>
    </row>
    <row r="5" spans="2:28">
      <c r="B5" s="828" t="s">
        <v>334</v>
      </c>
      <c r="C5" s="830" t="s">
        <v>335</v>
      </c>
      <c r="D5" s="831"/>
      <c r="E5" s="831"/>
      <c r="F5" s="831"/>
      <c r="G5" s="831"/>
      <c r="H5" s="831"/>
      <c r="I5" s="831"/>
      <c r="J5" s="831"/>
    </row>
    <row r="6" spans="2:28">
      <c r="B6" s="828"/>
      <c r="C6" s="830" t="s">
        <v>336</v>
      </c>
      <c r="D6" s="831"/>
      <c r="E6" s="831"/>
      <c r="F6" s="831"/>
      <c r="G6" s="831"/>
      <c r="H6" s="831"/>
      <c r="I6" s="831"/>
      <c r="J6" s="831"/>
    </row>
    <row r="7" spans="2:28">
      <c r="B7" s="828" t="s">
        <v>337</v>
      </c>
      <c r="C7" s="830" t="s">
        <v>338</v>
      </c>
      <c r="D7" s="831"/>
      <c r="E7" s="831"/>
      <c r="F7" s="831"/>
      <c r="G7" s="831"/>
      <c r="H7" s="831"/>
      <c r="I7" s="831"/>
      <c r="J7" s="831"/>
    </row>
    <row r="8" spans="2:28">
      <c r="B8" s="828" t="s">
        <v>339</v>
      </c>
      <c r="C8" s="832">
        <v>4950256638</v>
      </c>
      <c r="D8" s="831"/>
      <c r="E8" s="831"/>
      <c r="F8" s="831"/>
      <c r="G8" s="831"/>
      <c r="H8" s="831"/>
      <c r="I8" s="831"/>
      <c r="J8" s="831"/>
    </row>
    <row r="9" spans="2:28">
      <c r="B9" s="828"/>
      <c r="C9" s="830"/>
      <c r="D9" s="831"/>
      <c r="E9" s="831"/>
      <c r="F9" s="831"/>
      <c r="G9" s="831"/>
      <c r="H9" s="831"/>
      <c r="I9" s="831"/>
      <c r="J9" s="831"/>
    </row>
    <row r="10" spans="2:28" ht="15" customHeight="1">
      <c r="B10" s="989" t="s">
        <v>340</v>
      </c>
      <c r="C10" s="989"/>
      <c r="D10" s="989"/>
      <c r="E10" s="989"/>
      <c r="F10" s="989"/>
      <c r="G10" s="989"/>
      <c r="H10" s="989"/>
      <c r="I10" s="989"/>
      <c r="J10" s="831"/>
      <c r="AB10" s="833"/>
    </row>
    <row r="11" spans="2:28" ht="15" customHeight="1">
      <c r="B11" s="989"/>
      <c r="C11" s="989"/>
      <c r="D11" s="989"/>
      <c r="E11" s="989"/>
      <c r="F11" s="989"/>
      <c r="G11" s="989"/>
      <c r="H11" s="989"/>
      <c r="I11" s="989"/>
      <c r="J11" s="831"/>
      <c r="AB11" s="833"/>
    </row>
    <row r="12" spans="2:28" ht="15" customHeight="1">
      <c r="B12" s="834" t="s">
        <v>341</v>
      </c>
      <c r="C12" s="990" t="s">
        <v>820</v>
      </c>
      <c r="D12" s="990"/>
      <c r="E12" s="990"/>
      <c r="F12" s="990"/>
      <c r="G12" s="831"/>
      <c r="H12" s="834" t="s">
        <v>343</v>
      </c>
      <c r="I12" s="836">
        <f ca="1">TODAY()</f>
        <v>46078</v>
      </c>
      <c r="J12" s="831"/>
      <c r="AB12" s="833"/>
    </row>
    <row r="13" spans="2:28" ht="15" customHeight="1">
      <c r="B13" s="834" t="s">
        <v>339</v>
      </c>
      <c r="C13" s="991">
        <f>VLOOKUP($C$12,[1]Database!$A:$F,2,FALSE)</f>
        <v>4090136104</v>
      </c>
      <c r="D13" s="991"/>
      <c r="E13" s="991"/>
      <c r="F13" s="991"/>
      <c r="G13" s="831"/>
      <c r="H13" s="834" t="s">
        <v>344</v>
      </c>
      <c r="I13" s="837" t="str">
        <f>'Project Plan'!J2</f>
        <v>Mondi</v>
      </c>
      <c r="J13" s="831"/>
      <c r="AB13" s="833"/>
    </row>
    <row r="14" spans="2:28" ht="15" customHeight="1">
      <c r="B14" s="834" t="s">
        <v>345</v>
      </c>
      <c r="C14" s="991" t="str">
        <f>VLOOKUP($C$12,[1]Database!$A:$F,3,FALSE)</f>
        <v>2 Lake Road,</v>
      </c>
      <c r="D14" s="991"/>
      <c r="E14" s="991"/>
      <c r="F14" s="991"/>
      <c r="G14" s="831"/>
      <c r="H14" s="834" t="s">
        <v>346</v>
      </c>
      <c r="I14" s="838" t="s">
        <v>828</v>
      </c>
      <c r="J14" s="831"/>
      <c r="AB14" s="833"/>
    </row>
    <row r="15" spans="2:28" ht="15" customHeight="1">
      <c r="B15" s="834"/>
      <c r="C15" s="991" t="str">
        <f>VLOOKUP($C$12,[1]Database!$A:$F,4,FALSE)</f>
        <v>Edenvale, Gauteng, RSA,</v>
      </c>
      <c r="D15" s="991"/>
      <c r="E15" s="991"/>
      <c r="F15" s="991"/>
      <c r="G15" s="831"/>
      <c r="J15" s="831"/>
      <c r="AB15" s="833"/>
    </row>
    <row r="16" spans="2:28" ht="15" customHeight="1">
      <c r="B16" s="834" t="s">
        <v>347</v>
      </c>
      <c r="C16" s="991" t="str">
        <f>VLOOKUP($C$12,[1]Database!$A:$F,5,FALSE)&amp;" "&amp;VLOOKUP($C$12,[1]Database!$A:$F,6,FALSE)</f>
        <v>Brain Ngoveni +27 84 404 1927</v>
      </c>
      <c r="D16" s="991"/>
      <c r="E16" s="991"/>
      <c r="F16" s="99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348</v>
      </c>
      <c r="C18" s="992" t="s">
        <v>284</v>
      </c>
      <c r="D18" s="992"/>
      <c r="E18" s="841" t="s">
        <v>349</v>
      </c>
      <c r="F18" s="840" t="s">
        <v>285</v>
      </c>
      <c r="G18" s="840" t="s">
        <v>350</v>
      </c>
      <c r="H18" s="839" t="s">
        <v>351</v>
      </c>
      <c r="I18" s="840" t="s">
        <v>352</v>
      </c>
      <c r="J18" s="831"/>
      <c r="AB18" s="833"/>
    </row>
    <row r="19" spans="2:28" ht="43.5" customHeight="1">
      <c r="B19" s="842">
        <v>1</v>
      </c>
      <c r="C19" s="988" t="s">
        <v>829</v>
      </c>
      <c r="D19" s="988"/>
      <c r="E19" s="843"/>
      <c r="F19" s="842">
        <v>3</v>
      </c>
      <c r="G19" s="842"/>
      <c r="H19" s="844">
        <v>741105</v>
      </c>
      <c r="I19" s="844">
        <f t="shared" ref="I19:I27" si="0">H19*F19</f>
        <v>2223315</v>
      </c>
      <c r="J19" s="831"/>
      <c r="AB19" s="833"/>
    </row>
    <row r="20" spans="2:28" ht="30.75" customHeight="1">
      <c r="B20" s="842">
        <v>2</v>
      </c>
      <c r="C20" s="988" t="s">
        <v>830</v>
      </c>
      <c r="D20" s="988"/>
      <c r="E20" s="843"/>
      <c r="F20" s="842">
        <v>1</v>
      </c>
      <c r="G20" s="842"/>
      <c r="H20" s="844">
        <v>853837</v>
      </c>
      <c r="I20" s="844">
        <f t="shared" si="0"/>
        <v>853837</v>
      </c>
      <c r="J20" s="831"/>
      <c r="AB20" s="833"/>
    </row>
    <row r="21" spans="2:28" ht="30.75" customHeight="1">
      <c r="B21" s="842">
        <v>3</v>
      </c>
      <c r="C21" s="988" t="s">
        <v>831</v>
      </c>
      <c r="D21" s="988"/>
      <c r="E21" s="843"/>
      <c r="F21" s="842">
        <v>1</v>
      </c>
      <c r="G21" s="842"/>
      <c r="H21" s="844">
        <v>20342</v>
      </c>
      <c r="I21" s="844">
        <f t="shared" si="0"/>
        <v>20342</v>
      </c>
      <c r="J21" s="831"/>
      <c r="AB21" s="833"/>
    </row>
    <row r="22" spans="2:28" ht="30.75" customHeight="1">
      <c r="B22" s="842">
        <v>4</v>
      </c>
      <c r="C22" s="988"/>
      <c r="D22" s="988"/>
      <c r="E22" s="843"/>
      <c r="F22" s="842"/>
      <c r="G22" s="842"/>
      <c r="H22" s="844"/>
      <c r="I22" s="844">
        <f t="shared" si="0"/>
        <v>0</v>
      </c>
      <c r="J22" s="831"/>
      <c r="AB22" s="833"/>
    </row>
    <row r="23" spans="2:28" ht="30.75" customHeight="1">
      <c r="B23" s="842">
        <v>5</v>
      </c>
      <c r="C23" s="988"/>
      <c r="D23" s="988"/>
      <c r="E23" s="843"/>
      <c r="F23" s="842"/>
      <c r="G23" s="842"/>
      <c r="H23" s="844"/>
      <c r="I23" s="844">
        <f t="shared" si="0"/>
        <v>0</v>
      </c>
      <c r="J23" s="831"/>
      <c r="AB23" s="833"/>
    </row>
    <row r="24" spans="2:28" ht="30.75" customHeight="1">
      <c r="B24" s="842">
        <v>6</v>
      </c>
      <c r="C24" s="988"/>
      <c r="D24" s="988"/>
      <c r="E24" s="843"/>
      <c r="F24" s="842"/>
      <c r="G24" s="842"/>
      <c r="H24" s="844"/>
      <c r="I24" s="844">
        <f t="shared" si="0"/>
        <v>0</v>
      </c>
      <c r="J24" s="831"/>
      <c r="AB24" s="833"/>
    </row>
    <row r="25" spans="2:28" ht="30.75" customHeight="1">
      <c r="B25" s="842">
        <v>7</v>
      </c>
      <c r="C25" s="988"/>
      <c r="D25" s="988"/>
      <c r="E25" s="843"/>
      <c r="F25" s="842"/>
      <c r="G25" s="842"/>
      <c r="H25" s="844"/>
      <c r="I25" s="844">
        <f t="shared" si="0"/>
        <v>0</v>
      </c>
      <c r="J25" s="831"/>
      <c r="AB25" s="833"/>
    </row>
    <row r="26" spans="2:28" ht="30.75" customHeight="1">
      <c r="B26" s="842">
        <v>8</v>
      </c>
      <c r="C26" s="988"/>
      <c r="D26" s="988"/>
      <c r="E26" s="843"/>
      <c r="F26" s="842"/>
      <c r="G26" s="842"/>
      <c r="H26" s="844"/>
      <c r="I26" s="844">
        <f t="shared" si="0"/>
        <v>0</v>
      </c>
      <c r="J26" s="831"/>
      <c r="AB26" s="833"/>
    </row>
    <row r="27" spans="2:28" ht="30.75" customHeight="1">
      <c r="B27" s="842">
        <v>9</v>
      </c>
      <c r="C27" s="988"/>
      <c r="D27" s="988"/>
      <c r="E27" s="843"/>
      <c r="F27" s="842"/>
      <c r="G27" s="842"/>
      <c r="H27" s="844"/>
      <c r="I27" s="844">
        <f t="shared" si="0"/>
        <v>0</v>
      </c>
      <c r="J27" s="831"/>
      <c r="AB27" s="833"/>
    </row>
    <row r="28" spans="2:28" ht="15" customHeight="1">
      <c r="B28" s="831"/>
      <c r="C28" s="831"/>
      <c r="D28" s="831"/>
      <c r="E28" s="831"/>
      <c r="F28" s="831"/>
      <c r="G28" s="831"/>
      <c r="H28" s="845" t="s">
        <v>353</v>
      </c>
      <c r="I28" s="846">
        <f>SUM(I19:I27)</f>
        <v>3097494</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354</v>
      </c>
      <c r="I29" s="846">
        <f>I28*0.15</f>
        <v>464624.1</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355</v>
      </c>
      <c r="I30" s="846">
        <f>I29+I28</f>
        <v>3562118.1</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93" t="s">
        <v>356</v>
      </c>
      <c r="C33" s="993"/>
      <c r="D33" s="994" t="s">
        <v>832</v>
      </c>
      <c r="E33" s="995"/>
      <c r="F33" s="995"/>
      <c r="G33" s="995"/>
      <c r="H33" s="995"/>
      <c r="I33" s="995"/>
      <c r="J33" s="831"/>
    </row>
    <row r="34" spans="2:10">
      <c r="B34" s="993"/>
      <c r="C34" s="993"/>
      <c r="D34" s="995"/>
      <c r="E34" s="995"/>
      <c r="F34" s="995"/>
      <c r="G34" s="995"/>
      <c r="H34" s="995"/>
      <c r="I34" s="995"/>
      <c r="J34" s="831"/>
    </row>
    <row r="35" spans="2:10">
      <c r="B35" s="993"/>
      <c r="C35" s="993"/>
      <c r="D35" s="995"/>
      <c r="E35" s="995"/>
      <c r="F35" s="995"/>
      <c r="G35" s="995"/>
      <c r="H35" s="995"/>
      <c r="I35" s="995"/>
      <c r="J35" s="831"/>
    </row>
    <row r="36" spans="2:10">
      <c r="B36" s="993"/>
      <c r="C36" s="993"/>
      <c r="D36" s="995"/>
      <c r="E36" s="995"/>
      <c r="F36" s="995"/>
      <c r="G36" s="995"/>
      <c r="H36" s="995"/>
      <c r="I36" s="995"/>
      <c r="J36" s="831"/>
    </row>
    <row r="37" spans="2:10">
      <c r="B37" s="847"/>
      <c r="C37" s="847"/>
      <c r="D37" s="831"/>
      <c r="E37" s="831"/>
      <c r="F37" s="831"/>
      <c r="G37" s="831"/>
      <c r="H37" s="831"/>
      <c r="I37" s="831"/>
      <c r="J37" s="831"/>
    </row>
    <row r="38" spans="2:10">
      <c r="B38" s="993" t="s">
        <v>358</v>
      </c>
      <c r="C38" s="993"/>
      <c r="D38" s="994" t="s">
        <v>359</v>
      </c>
      <c r="E38" s="995"/>
      <c r="F38" s="995"/>
      <c r="G38" s="995"/>
      <c r="H38" s="995"/>
      <c r="I38" s="995"/>
      <c r="J38" s="831"/>
    </row>
    <row r="39" spans="2:10">
      <c r="B39" s="993"/>
      <c r="C39" s="993"/>
      <c r="D39" s="995"/>
      <c r="E39" s="995"/>
      <c r="F39" s="995"/>
      <c r="G39" s="995"/>
      <c r="H39" s="995"/>
      <c r="I39" s="995"/>
      <c r="J39" s="831"/>
    </row>
    <row r="40" spans="2:10">
      <c r="B40" s="993"/>
      <c r="C40" s="993"/>
      <c r="D40" s="995"/>
      <c r="E40" s="995"/>
      <c r="F40" s="995"/>
      <c r="G40" s="995"/>
      <c r="H40" s="995"/>
      <c r="I40" s="995"/>
      <c r="J40" s="831"/>
    </row>
    <row r="41" spans="2:10">
      <c r="B41" s="847"/>
      <c r="C41" s="847"/>
      <c r="D41" s="831"/>
      <c r="E41" s="831"/>
      <c r="F41" s="831"/>
      <c r="G41" s="831"/>
      <c r="H41" s="831"/>
      <c r="I41" s="831"/>
      <c r="J41" s="831"/>
    </row>
    <row r="42" spans="2:10">
      <c r="B42" s="993" t="s">
        <v>8</v>
      </c>
      <c r="C42" s="993"/>
      <c r="D42" s="994" t="s">
        <v>360</v>
      </c>
      <c r="E42" s="995"/>
      <c r="F42" s="995"/>
      <c r="G42" s="995"/>
      <c r="H42" s="995"/>
      <c r="I42" s="995"/>
      <c r="J42" s="831"/>
    </row>
    <row r="43" spans="2:10">
      <c r="B43" s="993"/>
      <c r="C43" s="993"/>
      <c r="D43" s="995"/>
      <c r="E43" s="995"/>
      <c r="F43" s="995"/>
      <c r="G43" s="995"/>
      <c r="H43" s="995"/>
      <c r="I43" s="995"/>
      <c r="J43" s="831"/>
    </row>
    <row r="44" spans="2:10">
      <c r="B44" s="993"/>
      <c r="C44" s="993"/>
      <c r="D44" s="995"/>
      <c r="E44" s="995"/>
      <c r="F44" s="995"/>
      <c r="G44" s="995"/>
      <c r="H44" s="995"/>
      <c r="I44" s="995"/>
      <c r="J44" s="831"/>
    </row>
    <row r="45" spans="2:10">
      <c r="B45" s="831"/>
      <c r="C45" s="831"/>
      <c r="D45" s="831"/>
      <c r="E45" s="831"/>
      <c r="F45" s="831"/>
      <c r="G45" s="831"/>
      <c r="H45" s="831"/>
      <c r="I45" s="831"/>
      <c r="J45" s="831"/>
    </row>
    <row r="46" spans="2:10" ht="15">
      <c r="B46" s="848" t="s">
        <v>361</v>
      </c>
      <c r="C46" s="848"/>
      <c r="D46" s="835" t="s">
        <v>362</v>
      </c>
      <c r="E46" s="849"/>
      <c r="F46" s="850"/>
      <c r="G46" s="850"/>
      <c r="H46" s="851"/>
      <c r="I46" s="836">
        <f ca="1">TODAY()</f>
        <v>46078</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72C255C8-F900-45A5-9997-533BC766767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D668-AC06-492B-8E8F-F3B49A540CD8}">
  <sheetPr codeName="Sheet25"/>
  <dimension ref="B1:AB47"/>
  <sheetViews>
    <sheetView view="pageBreakPreview"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PO4612-MON-20260205-Fuducia Construction</v>
      </c>
    </row>
    <row r="2" spans="2:28">
      <c r="M2" s="827"/>
    </row>
    <row r="3" spans="2:28">
      <c r="B3" s="828" t="s">
        <v>330</v>
      </c>
      <c r="C3" s="829" t="s">
        <v>331</v>
      </c>
      <c r="D3" s="830"/>
      <c r="E3" s="831"/>
      <c r="F3" s="831"/>
      <c r="G3" s="831"/>
      <c r="H3" s="831"/>
      <c r="I3" s="831"/>
      <c r="J3" s="831"/>
    </row>
    <row r="4" spans="2:28">
      <c r="B4" s="828" t="s">
        <v>332</v>
      </c>
      <c r="C4" s="830" t="s">
        <v>333</v>
      </c>
      <c r="D4" s="831"/>
      <c r="E4" s="831"/>
      <c r="F4" s="831"/>
      <c r="G4" s="831"/>
      <c r="H4" s="831"/>
      <c r="I4" s="831"/>
      <c r="J4" s="831"/>
    </row>
    <row r="5" spans="2:28">
      <c r="B5" s="828" t="s">
        <v>334</v>
      </c>
      <c r="C5" s="830" t="s">
        <v>335</v>
      </c>
      <c r="D5" s="831"/>
      <c r="E5" s="831"/>
      <c r="F5" s="831"/>
      <c r="G5" s="831"/>
      <c r="H5" s="831"/>
      <c r="I5" s="831"/>
      <c r="J5" s="831"/>
    </row>
    <row r="6" spans="2:28">
      <c r="B6" s="828"/>
      <c r="C6" s="830" t="s">
        <v>336</v>
      </c>
      <c r="D6" s="831"/>
      <c r="E6" s="831"/>
      <c r="F6" s="831"/>
      <c r="G6" s="831"/>
      <c r="H6" s="831"/>
      <c r="I6" s="831"/>
      <c r="J6" s="831"/>
    </row>
    <row r="7" spans="2:28">
      <c r="B7" s="828" t="s">
        <v>337</v>
      </c>
      <c r="C7" s="830" t="s">
        <v>338</v>
      </c>
      <c r="D7" s="831"/>
      <c r="E7" s="831"/>
      <c r="F7" s="831"/>
      <c r="G7" s="831"/>
      <c r="H7" s="831"/>
      <c r="I7" s="831"/>
      <c r="J7" s="831"/>
    </row>
    <row r="8" spans="2:28">
      <c r="B8" s="828" t="s">
        <v>339</v>
      </c>
      <c r="C8" s="832">
        <v>4950256638</v>
      </c>
      <c r="D8" s="831"/>
      <c r="E8" s="831"/>
      <c r="F8" s="831"/>
      <c r="G8" s="831"/>
      <c r="H8" s="831"/>
      <c r="I8" s="831"/>
      <c r="J8" s="831"/>
    </row>
    <row r="9" spans="2:28">
      <c r="B9" s="828"/>
      <c r="C9" s="830"/>
      <c r="D9" s="831"/>
      <c r="E9" s="831"/>
      <c r="F9" s="831"/>
      <c r="G9" s="831"/>
      <c r="H9" s="831"/>
      <c r="I9" s="831"/>
      <c r="J9" s="831"/>
    </row>
    <row r="10" spans="2:28" ht="15" customHeight="1">
      <c r="B10" s="989" t="s">
        <v>340</v>
      </c>
      <c r="C10" s="989"/>
      <c r="D10" s="989"/>
      <c r="E10" s="989"/>
      <c r="F10" s="989"/>
      <c r="G10" s="989"/>
      <c r="H10" s="989"/>
      <c r="I10" s="989"/>
      <c r="J10" s="831"/>
      <c r="AB10" s="833"/>
    </row>
    <row r="11" spans="2:28" ht="15" customHeight="1">
      <c r="B11" s="989"/>
      <c r="C11" s="989"/>
      <c r="D11" s="989"/>
      <c r="E11" s="989"/>
      <c r="F11" s="989"/>
      <c r="G11" s="989"/>
      <c r="H11" s="989"/>
      <c r="I11" s="989"/>
      <c r="J11" s="831"/>
      <c r="AB11" s="833"/>
    </row>
    <row r="12" spans="2:28" ht="15" customHeight="1">
      <c r="B12" s="834" t="s">
        <v>341</v>
      </c>
      <c r="C12" s="990" t="s">
        <v>833</v>
      </c>
      <c r="D12" s="990"/>
      <c r="E12" s="990"/>
      <c r="F12" s="990"/>
      <c r="G12" s="831"/>
      <c r="H12" s="834" t="s">
        <v>343</v>
      </c>
      <c r="I12" s="836">
        <f ca="1">TODAY()</f>
        <v>46078</v>
      </c>
      <c r="J12" s="831"/>
      <c r="AB12" s="833"/>
    </row>
    <row r="13" spans="2:28" ht="15" customHeight="1">
      <c r="B13" s="834" t="s">
        <v>339</v>
      </c>
      <c r="C13" s="991">
        <f>VLOOKUP($C$12,[1]Database!$A:$F,2,FALSE)</f>
        <v>4020257822</v>
      </c>
      <c r="D13" s="991"/>
      <c r="E13" s="991"/>
      <c r="F13" s="991"/>
      <c r="G13" s="831"/>
      <c r="H13" s="834" t="s">
        <v>344</v>
      </c>
      <c r="I13" s="837" t="str">
        <f>'Project Plan'!J2</f>
        <v>Mondi</v>
      </c>
      <c r="J13" s="831"/>
      <c r="AB13" s="833"/>
    </row>
    <row r="14" spans="2:28" ht="15" customHeight="1">
      <c r="B14" s="834" t="s">
        <v>345</v>
      </c>
      <c r="C14" s="991" t="str">
        <f>VLOOKUP($C$12,[1]Database!$A:$F,3,FALSE)</f>
        <v>Unit 10, 25 Ceramic Curve, Alton</v>
      </c>
      <c r="D14" s="991"/>
      <c r="E14" s="991"/>
      <c r="F14" s="991"/>
      <c r="G14" s="831"/>
      <c r="H14" s="834" t="s">
        <v>346</v>
      </c>
      <c r="I14" s="838" t="s">
        <v>834</v>
      </c>
      <c r="J14" s="831"/>
      <c r="AB14" s="833"/>
    </row>
    <row r="15" spans="2:28" ht="15" customHeight="1">
      <c r="B15" s="834"/>
      <c r="C15" s="991" t="str">
        <f>VLOOKUP($C$12,[1]Database!$A:$F,4,FALSE)</f>
        <v>Richards Bay, 3900</v>
      </c>
      <c r="D15" s="991"/>
      <c r="E15" s="991"/>
      <c r="F15" s="991"/>
      <c r="G15" s="831"/>
      <c r="J15" s="831"/>
      <c r="AB15" s="833"/>
    </row>
    <row r="16" spans="2:28" ht="15" customHeight="1">
      <c r="B16" s="834" t="s">
        <v>347</v>
      </c>
      <c r="C16" s="991" t="str">
        <f>VLOOKUP($C$12,[1]Database!$A:$F,5,FALSE)&amp;" "&amp;VLOOKUP($C$12,[1]Database!$A:$F,6,FALSE)</f>
        <v>Daleen Strydom 0832801534</v>
      </c>
      <c r="D16" s="991"/>
      <c r="E16" s="991"/>
      <c r="F16" s="99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348</v>
      </c>
      <c r="C18" s="992" t="s">
        <v>284</v>
      </c>
      <c r="D18" s="992"/>
      <c r="E18" s="841" t="s">
        <v>349</v>
      </c>
      <c r="F18" s="840" t="s">
        <v>285</v>
      </c>
      <c r="G18" s="840" t="s">
        <v>350</v>
      </c>
      <c r="H18" s="839" t="s">
        <v>351</v>
      </c>
      <c r="I18" s="840" t="s">
        <v>352</v>
      </c>
      <c r="J18" s="831"/>
      <c r="AB18" s="833"/>
    </row>
    <row r="19" spans="2:28" ht="30.75" customHeight="1">
      <c r="B19" s="842">
        <v>1</v>
      </c>
      <c r="C19" s="988" t="s">
        <v>835</v>
      </c>
      <c r="D19" s="988"/>
      <c r="E19" s="843"/>
      <c r="F19" s="842">
        <v>1</v>
      </c>
      <c r="G19" s="842"/>
      <c r="H19" s="844">
        <v>370205.5</v>
      </c>
      <c r="I19" s="844">
        <f t="shared" ref="I19:I27" si="0">H19*F19</f>
        <v>370205.5</v>
      </c>
      <c r="J19" s="831"/>
      <c r="AB19" s="833"/>
    </row>
    <row r="20" spans="2:28" ht="30.75" customHeight="1">
      <c r="B20" s="842">
        <v>2</v>
      </c>
      <c r="C20" s="988" t="s">
        <v>836</v>
      </c>
      <c r="D20" s="988"/>
      <c r="E20" s="843"/>
      <c r="F20" s="842"/>
      <c r="G20" s="842"/>
      <c r="H20" s="844"/>
      <c r="I20" s="844">
        <f t="shared" si="0"/>
        <v>0</v>
      </c>
      <c r="J20" s="831"/>
      <c r="AB20" s="833"/>
    </row>
    <row r="21" spans="2:28" ht="30.75" customHeight="1">
      <c r="B21" s="842">
        <v>3</v>
      </c>
      <c r="C21" s="988" t="s">
        <v>837</v>
      </c>
      <c r="D21" s="988"/>
      <c r="E21" s="843"/>
      <c r="F21" s="842"/>
      <c r="G21" s="842"/>
      <c r="H21" s="844"/>
      <c r="I21" s="844">
        <f t="shared" si="0"/>
        <v>0</v>
      </c>
      <c r="J21" s="831"/>
      <c r="AB21" s="833"/>
    </row>
    <row r="22" spans="2:28" ht="30.75" customHeight="1">
      <c r="B22" s="842">
        <v>4</v>
      </c>
      <c r="C22" s="988" t="s">
        <v>838</v>
      </c>
      <c r="D22" s="988"/>
      <c r="E22" s="843"/>
      <c r="F22" s="842"/>
      <c r="G22" s="842"/>
      <c r="H22" s="844"/>
      <c r="I22" s="844">
        <f t="shared" si="0"/>
        <v>0</v>
      </c>
      <c r="J22" s="831"/>
      <c r="AB22" s="833"/>
    </row>
    <row r="23" spans="2:28" ht="30.75" customHeight="1">
      <c r="B23" s="842">
        <v>5</v>
      </c>
      <c r="C23" s="988" t="s">
        <v>839</v>
      </c>
      <c r="D23" s="988"/>
      <c r="E23" s="843"/>
      <c r="F23" s="842"/>
      <c r="G23" s="842"/>
      <c r="H23" s="844"/>
      <c r="I23" s="844">
        <f t="shared" si="0"/>
        <v>0</v>
      </c>
      <c r="J23" s="831"/>
      <c r="AB23" s="833"/>
    </row>
    <row r="24" spans="2:28" ht="30.75" customHeight="1">
      <c r="B24" s="842">
        <v>6</v>
      </c>
      <c r="C24" s="988" t="s">
        <v>840</v>
      </c>
      <c r="D24" s="988"/>
      <c r="E24" s="843"/>
      <c r="F24" s="842"/>
      <c r="G24" s="842"/>
      <c r="H24" s="844"/>
      <c r="I24" s="844">
        <f t="shared" si="0"/>
        <v>0</v>
      </c>
      <c r="J24" s="831"/>
      <c r="AB24" s="833"/>
    </row>
    <row r="25" spans="2:28" ht="30.75" customHeight="1">
      <c r="B25" s="842">
        <v>7</v>
      </c>
      <c r="C25" s="988" t="s">
        <v>841</v>
      </c>
      <c r="D25" s="988"/>
      <c r="E25" s="843"/>
      <c r="F25" s="842"/>
      <c r="G25" s="842"/>
      <c r="H25" s="844"/>
      <c r="I25" s="844">
        <f t="shared" si="0"/>
        <v>0</v>
      </c>
      <c r="J25" s="831"/>
      <c r="AB25" s="833"/>
    </row>
    <row r="26" spans="2:28" ht="30.75" customHeight="1">
      <c r="B26" s="842">
        <v>8</v>
      </c>
      <c r="C26" s="988" t="s">
        <v>842</v>
      </c>
      <c r="D26" s="988"/>
      <c r="E26" s="843"/>
      <c r="F26" s="842"/>
      <c r="G26" s="842"/>
      <c r="H26" s="844"/>
      <c r="I26" s="844">
        <f t="shared" si="0"/>
        <v>0</v>
      </c>
      <c r="J26" s="831"/>
      <c r="AB26" s="833"/>
    </row>
    <row r="27" spans="2:28" ht="30.75" customHeight="1">
      <c r="B27" s="842">
        <v>9</v>
      </c>
      <c r="C27" s="988" t="s">
        <v>843</v>
      </c>
      <c r="D27" s="988"/>
      <c r="E27" s="843"/>
      <c r="F27" s="842"/>
      <c r="G27" s="842"/>
      <c r="H27" s="844"/>
      <c r="I27" s="844">
        <f t="shared" si="0"/>
        <v>0</v>
      </c>
      <c r="J27" s="831"/>
      <c r="AB27" s="833"/>
    </row>
    <row r="28" spans="2:28" ht="15" customHeight="1">
      <c r="B28" s="831"/>
      <c r="C28" s="831"/>
      <c r="D28" s="831"/>
      <c r="E28" s="831"/>
      <c r="F28" s="831"/>
      <c r="G28" s="831"/>
      <c r="H28" s="845" t="s">
        <v>353</v>
      </c>
      <c r="I28" s="846">
        <f>SUM(I19:I27)</f>
        <v>370205.5</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354</v>
      </c>
      <c r="I29" s="846">
        <f>I28*0.15</f>
        <v>55530.824999999997</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355</v>
      </c>
      <c r="I30" s="846">
        <f>I29+I28</f>
        <v>425736.32500000001</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93" t="s">
        <v>356</v>
      </c>
      <c r="C33" s="993"/>
      <c r="D33" s="994" t="s">
        <v>844</v>
      </c>
      <c r="E33" s="995"/>
      <c r="F33" s="995"/>
      <c r="G33" s="995"/>
      <c r="H33" s="995"/>
      <c r="I33" s="995"/>
      <c r="J33" s="831"/>
    </row>
    <row r="34" spans="2:10">
      <c r="B34" s="993"/>
      <c r="C34" s="993"/>
      <c r="D34" s="995"/>
      <c r="E34" s="995"/>
      <c r="F34" s="995"/>
      <c r="G34" s="995"/>
      <c r="H34" s="995"/>
      <c r="I34" s="995"/>
      <c r="J34" s="831"/>
    </row>
    <row r="35" spans="2:10">
      <c r="B35" s="993"/>
      <c r="C35" s="993"/>
      <c r="D35" s="995"/>
      <c r="E35" s="995"/>
      <c r="F35" s="995"/>
      <c r="G35" s="995"/>
      <c r="H35" s="995"/>
      <c r="I35" s="995"/>
      <c r="J35" s="831"/>
    </row>
    <row r="36" spans="2:10">
      <c r="B36" s="993"/>
      <c r="C36" s="993"/>
      <c r="D36" s="995"/>
      <c r="E36" s="995"/>
      <c r="F36" s="995"/>
      <c r="G36" s="995"/>
      <c r="H36" s="995"/>
      <c r="I36" s="995"/>
      <c r="J36" s="831"/>
    </row>
    <row r="37" spans="2:10">
      <c r="B37" s="847"/>
      <c r="C37" s="847"/>
      <c r="D37" s="831"/>
      <c r="E37" s="831"/>
      <c r="F37" s="831"/>
      <c r="G37" s="831"/>
      <c r="H37" s="831"/>
      <c r="I37" s="831"/>
      <c r="J37" s="831"/>
    </row>
    <row r="38" spans="2:10">
      <c r="B38" s="993" t="s">
        <v>358</v>
      </c>
      <c r="C38" s="993"/>
      <c r="D38" s="994" t="s">
        <v>359</v>
      </c>
      <c r="E38" s="995"/>
      <c r="F38" s="995"/>
      <c r="G38" s="995"/>
      <c r="H38" s="995"/>
      <c r="I38" s="995"/>
      <c r="J38" s="831"/>
    </row>
    <row r="39" spans="2:10">
      <c r="B39" s="993"/>
      <c r="C39" s="993"/>
      <c r="D39" s="995"/>
      <c r="E39" s="995"/>
      <c r="F39" s="995"/>
      <c r="G39" s="995"/>
      <c r="H39" s="995"/>
      <c r="I39" s="995"/>
      <c r="J39" s="831"/>
    </row>
    <row r="40" spans="2:10">
      <c r="B40" s="993"/>
      <c r="C40" s="993"/>
      <c r="D40" s="995"/>
      <c r="E40" s="995"/>
      <c r="F40" s="995"/>
      <c r="G40" s="995"/>
      <c r="H40" s="995"/>
      <c r="I40" s="995"/>
      <c r="J40" s="831"/>
    </row>
    <row r="41" spans="2:10">
      <c r="B41" s="847"/>
      <c r="C41" s="847"/>
      <c r="D41" s="831"/>
      <c r="E41" s="831"/>
      <c r="F41" s="831"/>
      <c r="G41" s="831"/>
      <c r="H41" s="831"/>
      <c r="I41" s="831"/>
      <c r="J41" s="831"/>
    </row>
    <row r="42" spans="2:10">
      <c r="B42" s="993" t="s">
        <v>8</v>
      </c>
      <c r="C42" s="993"/>
      <c r="D42" s="994" t="s">
        <v>360</v>
      </c>
      <c r="E42" s="995"/>
      <c r="F42" s="995"/>
      <c r="G42" s="995"/>
      <c r="H42" s="995"/>
      <c r="I42" s="995"/>
      <c r="J42" s="831"/>
    </row>
    <row r="43" spans="2:10">
      <c r="B43" s="993"/>
      <c r="C43" s="993"/>
      <c r="D43" s="995"/>
      <c r="E43" s="995"/>
      <c r="F43" s="995"/>
      <c r="G43" s="995"/>
      <c r="H43" s="995"/>
      <c r="I43" s="995"/>
      <c r="J43" s="831"/>
    </row>
    <row r="44" spans="2:10">
      <c r="B44" s="993"/>
      <c r="C44" s="993"/>
      <c r="D44" s="995"/>
      <c r="E44" s="995"/>
      <c r="F44" s="995"/>
      <c r="G44" s="995"/>
      <c r="H44" s="995"/>
      <c r="I44" s="995"/>
      <c r="J44" s="831"/>
    </row>
    <row r="45" spans="2:10">
      <c r="B45" s="831"/>
      <c r="C45" s="831"/>
      <c r="D45" s="831"/>
      <c r="E45" s="831"/>
      <c r="F45" s="831"/>
      <c r="G45" s="831"/>
      <c r="H45" s="831"/>
      <c r="I45" s="831"/>
      <c r="J45" s="831"/>
    </row>
    <row r="46" spans="2:10" ht="15">
      <c r="B46" s="848" t="s">
        <v>361</v>
      </c>
      <c r="C46" s="848"/>
      <c r="D46" s="835" t="s">
        <v>362</v>
      </c>
      <c r="E46" s="849"/>
      <c r="F46" s="850"/>
      <c r="G46" s="850"/>
      <c r="H46" s="851"/>
      <c r="I46" s="836">
        <f ca="1">TODAY()</f>
        <v>46078</v>
      </c>
      <c r="J46" s="831"/>
    </row>
    <row r="47" spans="2:10">
      <c r="B47" s="848"/>
      <c r="C47" s="848"/>
      <c r="D47" s="852"/>
      <c r="E47" s="853"/>
      <c r="F47" s="854"/>
      <c r="G47" s="854"/>
      <c r="H47" s="855"/>
      <c r="I47" s="856"/>
      <c r="J47" s="831"/>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1B0E3852-01C6-472A-8861-DC074AADB8D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CF50421-9127-450A-B230-86268A84972D}">
          <x14:formula1>
            <xm:f>Data!$N$3:$N$12</xm:f>
          </x14:formula1>
          <xm:sqref>D46</xm:sqref>
        </x14:dataValidation>
        <x14:dataValidation type="list" allowBlank="1" showInputMessage="1" showErrorMessage="1" xr:uid="{BDFF91EF-0D75-41E5-9A13-60C0E6CA1836}">
          <x14:formula1>
            <xm:f>Data!$J$2:$J$168</xm:f>
          </x14:formula1>
          <xm:sqref>C12:F12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C9E4-F2B4-47FB-9901-3C7A6AEE8AA9}">
  <sheetPr codeName="Sheet26"/>
  <dimension ref="B1:AB42"/>
  <sheetViews>
    <sheetView view="pageBreakPreview" topLeftCell="A18" zoomScaleNormal="100" zoomScaleSheetLayoutView="100" workbookViewId="0">
      <selection activeCell="L39" sqref="L39"/>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PO4640-MON-20260223-Logivest</v>
      </c>
    </row>
    <row r="2" spans="2:28">
      <c r="M2" s="827"/>
    </row>
    <row r="3" spans="2:28">
      <c r="B3" s="828" t="s">
        <v>330</v>
      </c>
      <c r="C3" s="829" t="s">
        <v>331</v>
      </c>
      <c r="D3" s="830"/>
      <c r="E3" s="831"/>
      <c r="F3" s="831"/>
      <c r="G3" s="831"/>
      <c r="H3" s="831"/>
      <c r="I3" s="831"/>
      <c r="J3" s="831"/>
    </row>
    <row r="4" spans="2:28">
      <c r="B4" s="828" t="s">
        <v>332</v>
      </c>
      <c r="C4" s="830" t="s">
        <v>333</v>
      </c>
      <c r="D4" s="831"/>
      <c r="E4" s="831"/>
      <c r="F4" s="831"/>
      <c r="G4" s="831"/>
      <c r="H4" s="831"/>
      <c r="I4" s="831"/>
      <c r="J4" s="831"/>
    </row>
    <row r="5" spans="2:28">
      <c r="B5" s="828" t="s">
        <v>334</v>
      </c>
      <c r="C5" s="830" t="s">
        <v>335</v>
      </c>
      <c r="D5" s="831"/>
      <c r="E5" s="831"/>
      <c r="F5" s="831"/>
      <c r="G5" s="831"/>
      <c r="H5" s="831"/>
      <c r="I5" s="831"/>
      <c r="J5" s="831"/>
    </row>
    <row r="6" spans="2:28">
      <c r="B6" s="828"/>
      <c r="C6" s="830" t="s">
        <v>336</v>
      </c>
      <c r="D6" s="831"/>
      <c r="E6" s="831"/>
      <c r="F6" s="831"/>
      <c r="G6" s="831"/>
      <c r="H6" s="831"/>
      <c r="I6" s="831"/>
      <c r="J6" s="831"/>
    </row>
    <row r="7" spans="2:28">
      <c r="B7" s="828" t="s">
        <v>337</v>
      </c>
      <c r="C7" s="830" t="s">
        <v>338</v>
      </c>
      <c r="D7" s="831"/>
      <c r="E7" s="831"/>
      <c r="F7" s="831"/>
      <c r="G7" s="831"/>
      <c r="H7" s="831"/>
      <c r="I7" s="831"/>
      <c r="J7" s="831"/>
    </row>
    <row r="8" spans="2:28">
      <c r="B8" s="828" t="s">
        <v>339</v>
      </c>
      <c r="C8" s="832">
        <v>4950256638</v>
      </c>
      <c r="D8" s="831"/>
      <c r="E8" s="831"/>
      <c r="F8" s="831"/>
      <c r="G8" s="831"/>
      <c r="H8" s="831"/>
      <c r="I8" s="831"/>
      <c r="J8" s="831"/>
    </row>
    <row r="9" spans="2:28">
      <c r="B9" s="828"/>
      <c r="C9" s="830"/>
      <c r="D9" s="831"/>
      <c r="E9" s="831"/>
      <c r="F9" s="831"/>
      <c r="G9" s="831"/>
      <c r="H9" s="831"/>
      <c r="I9" s="831"/>
      <c r="J9" s="831"/>
    </row>
    <row r="10" spans="2:28" ht="15" customHeight="1">
      <c r="B10" s="989" t="s">
        <v>340</v>
      </c>
      <c r="C10" s="989"/>
      <c r="D10" s="989"/>
      <c r="E10" s="989"/>
      <c r="F10" s="989"/>
      <c r="G10" s="989"/>
      <c r="H10" s="989"/>
      <c r="I10" s="989"/>
      <c r="J10" s="831"/>
      <c r="AB10" s="833"/>
    </row>
    <row r="11" spans="2:28" ht="15" customHeight="1">
      <c r="B11" s="989"/>
      <c r="C11" s="989"/>
      <c r="D11" s="989"/>
      <c r="E11" s="989"/>
      <c r="F11" s="989"/>
      <c r="G11" s="989"/>
      <c r="H11" s="989"/>
      <c r="I11" s="989"/>
      <c r="J11" s="831"/>
      <c r="AB11" s="833"/>
    </row>
    <row r="12" spans="2:28" ht="15" customHeight="1">
      <c r="B12" s="834" t="s">
        <v>341</v>
      </c>
      <c r="C12" s="990" t="s">
        <v>845</v>
      </c>
      <c r="D12" s="990"/>
      <c r="E12" s="990"/>
      <c r="F12" s="990"/>
      <c r="G12" s="831"/>
      <c r="H12" s="834" t="s">
        <v>343</v>
      </c>
      <c r="I12" s="836">
        <f ca="1">TODAY()</f>
        <v>46078</v>
      </c>
      <c r="J12" s="831"/>
      <c r="AB12" s="833"/>
    </row>
    <row r="13" spans="2:28" ht="15" customHeight="1">
      <c r="B13" s="834" t="s">
        <v>339</v>
      </c>
      <c r="C13" s="991">
        <f>VLOOKUP($C$12,[1]Database!$A:$F,2,FALSE)</f>
        <v>4670272949</v>
      </c>
      <c r="D13" s="991"/>
      <c r="E13" s="991"/>
      <c r="F13" s="991"/>
      <c r="G13" s="831"/>
      <c r="H13" s="834" t="s">
        <v>344</v>
      </c>
      <c r="I13" s="837" t="str">
        <f>'Project Plan'!J2</f>
        <v>Mondi</v>
      </c>
      <c r="J13" s="831"/>
      <c r="AB13" s="833"/>
    </row>
    <row r="14" spans="2:28" ht="15" customHeight="1">
      <c r="B14" s="834" t="s">
        <v>345</v>
      </c>
      <c r="C14" s="991" t="str">
        <f>VLOOKUP($C$12,[1]Database!$A:$F,3,FALSE)</f>
        <v>Portion 36 Farm, Zwartkrans, Mongale City</v>
      </c>
      <c r="D14" s="991"/>
      <c r="E14" s="991"/>
      <c r="F14" s="991"/>
      <c r="G14" s="831"/>
      <c r="H14" s="834" t="s">
        <v>346</v>
      </c>
      <c r="I14" s="838" t="s">
        <v>846</v>
      </c>
      <c r="J14" s="831"/>
      <c r="AB14" s="833"/>
    </row>
    <row r="15" spans="2:28" ht="15" customHeight="1">
      <c r="B15" s="834"/>
      <c r="C15" s="991" t="str">
        <f>VLOOKUP($C$12,[1]Database!$A:$F,4,FALSE)</f>
        <v>Gauteng 1739</v>
      </c>
      <c r="D15" s="991"/>
      <c r="E15" s="991"/>
      <c r="F15" s="991"/>
      <c r="G15" s="831"/>
      <c r="J15" s="831"/>
      <c r="AB15" s="833"/>
    </row>
    <row r="16" spans="2:28" ht="15" customHeight="1">
      <c r="B16" s="834" t="s">
        <v>347</v>
      </c>
      <c r="C16" s="991" t="str">
        <f>VLOOKUP($C$12,[1]Database!$A:$F,5,FALSE)&amp;" "&amp;VLOOKUP($C$12,[1]Database!$A:$F,6,FALSE)</f>
        <v>Vlam Human (082) 771 4092</v>
      </c>
      <c r="D16" s="991"/>
      <c r="E16" s="991"/>
      <c r="F16" s="99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348</v>
      </c>
      <c r="C18" s="992" t="s">
        <v>284</v>
      </c>
      <c r="D18" s="992"/>
      <c r="E18" s="841" t="s">
        <v>349</v>
      </c>
      <c r="F18" s="840" t="s">
        <v>285</v>
      </c>
      <c r="G18" s="840" t="s">
        <v>350</v>
      </c>
      <c r="H18" s="839" t="s">
        <v>351</v>
      </c>
      <c r="I18" s="840" t="s">
        <v>352</v>
      </c>
      <c r="J18" s="831"/>
      <c r="AB18" s="833"/>
    </row>
    <row r="19" spans="2:28" ht="30.75" customHeight="1">
      <c r="B19" s="842">
        <v>1</v>
      </c>
      <c r="C19" s="988" t="s">
        <v>847</v>
      </c>
      <c r="D19" s="988"/>
      <c r="E19" s="843"/>
      <c r="F19" s="842">
        <v>1</v>
      </c>
      <c r="G19" s="842"/>
      <c r="H19" s="844">
        <v>364573</v>
      </c>
      <c r="I19" s="844">
        <f>H19*F19</f>
        <v>364573</v>
      </c>
      <c r="J19" s="831"/>
      <c r="AB19" s="833"/>
    </row>
    <row r="20" spans="2:28" ht="51.9" customHeight="1">
      <c r="B20" s="842">
        <v>2</v>
      </c>
      <c r="C20" s="988" t="s">
        <v>848</v>
      </c>
      <c r="D20" s="988"/>
      <c r="E20" s="843"/>
      <c r="F20" s="842">
        <v>1</v>
      </c>
      <c r="G20" s="842"/>
      <c r="H20" s="844">
        <v>1297929</v>
      </c>
      <c r="I20" s="844">
        <f>H20*F20</f>
        <v>1297929</v>
      </c>
      <c r="J20" s="831"/>
      <c r="AB20" s="833"/>
    </row>
    <row r="21" spans="2:28" ht="30.75" customHeight="1">
      <c r="B21" s="842">
        <v>3</v>
      </c>
      <c r="C21" s="988" t="s">
        <v>849</v>
      </c>
      <c r="D21" s="988"/>
      <c r="E21" s="843"/>
      <c r="F21" s="842">
        <v>1</v>
      </c>
      <c r="G21" s="842"/>
      <c r="H21" s="844">
        <v>1014808</v>
      </c>
      <c r="I21" s="844">
        <f>H21*F21</f>
        <v>1014808</v>
      </c>
      <c r="J21" s="831"/>
      <c r="AB21" s="833"/>
    </row>
    <row r="22" spans="2:28" ht="50.15" customHeight="1">
      <c r="B22" s="842">
        <v>4</v>
      </c>
      <c r="C22" s="988" t="s">
        <v>850</v>
      </c>
      <c r="D22" s="988"/>
      <c r="E22" s="843"/>
      <c r="F22" s="842">
        <v>1</v>
      </c>
      <c r="G22" s="842"/>
      <c r="H22" s="844">
        <v>103779</v>
      </c>
      <c r="I22" s="844">
        <f>H22*F22</f>
        <v>103779</v>
      </c>
      <c r="J22" s="831"/>
      <c r="AB22" s="833"/>
    </row>
    <row r="23" spans="2:28" ht="15" customHeight="1">
      <c r="B23" s="831"/>
      <c r="C23" s="831"/>
      <c r="D23" s="831"/>
      <c r="E23" s="831"/>
      <c r="F23" s="831"/>
      <c r="G23" s="831"/>
      <c r="H23" s="845" t="s">
        <v>353</v>
      </c>
      <c r="I23" s="846">
        <f>SUM(I19:I22)</f>
        <v>2781089</v>
      </c>
      <c r="J23" s="831"/>
      <c r="N23" s="833"/>
      <c r="O23" s="833"/>
      <c r="P23" s="833"/>
      <c r="Q23" s="833"/>
      <c r="R23" s="833"/>
      <c r="S23" s="833"/>
      <c r="T23" s="833"/>
      <c r="U23" s="833"/>
      <c r="V23" s="833"/>
      <c r="W23" s="833"/>
      <c r="X23" s="833"/>
      <c r="Y23" s="833"/>
      <c r="Z23" s="833"/>
      <c r="AA23" s="833"/>
      <c r="AB23" s="833"/>
    </row>
    <row r="24" spans="2:28" ht="15" customHeight="1">
      <c r="B24" s="831"/>
      <c r="C24" s="831"/>
      <c r="D24" s="831"/>
      <c r="E24" s="831"/>
      <c r="F24" s="831"/>
      <c r="G24" s="831"/>
      <c r="H24" s="845" t="s">
        <v>354</v>
      </c>
      <c r="I24" s="846">
        <f>I23*0.15</f>
        <v>417163.35</v>
      </c>
      <c r="J24" s="831"/>
      <c r="N24" s="833"/>
      <c r="O24" s="833"/>
      <c r="P24" s="833"/>
      <c r="Q24" s="833"/>
      <c r="R24" s="833"/>
      <c r="S24" s="833"/>
      <c r="T24" s="833"/>
      <c r="U24" s="833"/>
      <c r="V24" s="833"/>
      <c r="W24" s="833"/>
      <c r="X24" s="833"/>
      <c r="Y24" s="833"/>
      <c r="Z24" s="833"/>
      <c r="AA24" s="833"/>
      <c r="AB24" s="833"/>
    </row>
    <row r="25" spans="2:28" ht="15" customHeight="1">
      <c r="B25" s="831"/>
      <c r="C25" s="831"/>
      <c r="D25" s="831"/>
      <c r="E25" s="831"/>
      <c r="F25" s="831"/>
      <c r="G25" s="831"/>
      <c r="H25" s="845" t="s">
        <v>355</v>
      </c>
      <c r="I25" s="846">
        <f>I24+I23</f>
        <v>3198252.35</v>
      </c>
      <c r="J25" s="831"/>
      <c r="N25" s="833"/>
      <c r="O25" s="833"/>
      <c r="P25" s="833"/>
      <c r="Q25" s="833"/>
      <c r="R25" s="833"/>
      <c r="S25" s="833"/>
      <c r="T25" s="833"/>
      <c r="U25" s="833"/>
      <c r="V25" s="833"/>
      <c r="W25" s="833"/>
      <c r="X25" s="833"/>
      <c r="Y25" s="833"/>
      <c r="Z25" s="833"/>
      <c r="AA25" s="833"/>
      <c r="AB25" s="833"/>
    </row>
    <row r="26" spans="2:28">
      <c r="B26" s="831"/>
      <c r="C26" s="831"/>
      <c r="D26" s="831"/>
      <c r="E26" s="831"/>
      <c r="F26" s="831"/>
      <c r="G26" s="831"/>
      <c r="H26" s="831"/>
      <c r="I26" s="831"/>
      <c r="J26" s="831"/>
    </row>
    <row r="27" spans="2:28">
      <c r="B27" s="831"/>
      <c r="C27" s="831"/>
      <c r="D27" s="831"/>
      <c r="E27" s="831"/>
      <c r="F27" s="831"/>
      <c r="G27" s="831"/>
      <c r="H27" s="831"/>
      <c r="I27" s="831"/>
      <c r="J27" s="831"/>
    </row>
    <row r="28" spans="2:28">
      <c r="B28" s="993" t="s">
        <v>356</v>
      </c>
      <c r="C28" s="993"/>
      <c r="D28" s="994" t="s">
        <v>851</v>
      </c>
      <c r="E28" s="995"/>
      <c r="F28" s="995"/>
      <c r="G28" s="995"/>
      <c r="H28" s="995"/>
      <c r="I28" s="995"/>
      <c r="J28" s="831"/>
    </row>
    <row r="29" spans="2:28">
      <c r="B29" s="993"/>
      <c r="C29" s="993"/>
      <c r="D29" s="995"/>
      <c r="E29" s="995"/>
      <c r="F29" s="995"/>
      <c r="G29" s="995"/>
      <c r="H29" s="995"/>
      <c r="I29" s="995"/>
      <c r="J29" s="831"/>
    </row>
    <row r="30" spans="2:28">
      <c r="B30" s="993"/>
      <c r="C30" s="993"/>
      <c r="D30" s="995"/>
      <c r="E30" s="995"/>
      <c r="F30" s="995"/>
      <c r="G30" s="995"/>
      <c r="H30" s="995"/>
      <c r="I30" s="995"/>
      <c r="J30" s="831"/>
    </row>
    <row r="31" spans="2:28">
      <c r="B31" s="993"/>
      <c r="C31" s="993"/>
      <c r="D31" s="995"/>
      <c r="E31" s="995"/>
      <c r="F31" s="995"/>
      <c r="G31" s="995"/>
      <c r="H31" s="995"/>
      <c r="I31" s="995"/>
      <c r="J31" s="831"/>
    </row>
    <row r="32" spans="2:28">
      <c r="B32" s="847"/>
      <c r="C32" s="847"/>
      <c r="D32" s="831"/>
      <c r="E32" s="831"/>
      <c r="F32" s="831"/>
      <c r="G32" s="831"/>
      <c r="H32" s="831"/>
      <c r="I32" s="831"/>
      <c r="J32" s="831"/>
    </row>
    <row r="33" spans="2:10">
      <c r="B33" s="993" t="s">
        <v>358</v>
      </c>
      <c r="C33" s="993"/>
      <c r="D33" s="994" t="s">
        <v>359</v>
      </c>
      <c r="E33" s="995"/>
      <c r="F33" s="995"/>
      <c r="G33" s="995"/>
      <c r="H33" s="995"/>
      <c r="I33" s="995"/>
      <c r="J33" s="831"/>
    </row>
    <row r="34" spans="2:10">
      <c r="B34" s="993"/>
      <c r="C34" s="993"/>
      <c r="D34" s="995"/>
      <c r="E34" s="995"/>
      <c r="F34" s="995"/>
      <c r="G34" s="995"/>
      <c r="H34" s="995"/>
      <c r="I34" s="995"/>
      <c r="J34" s="831"/>
    </row>
    <row r="35" spans="2:10">
      <c r="B35" s="993"/>
      <c r="C35" s="993"/>
      <c r="D35" s="995"/>
      <c r="E35" s="995"/>
      <c r="F35" s="995"/>
      <c r="G35" s="995"/>
      <c r="H35" s="995"/>
      <c r="I35" s="995"/>
      <c r="J35" s="831"/>
    </row>
    <row r="36" spans="2:10">
      <c r="B36" s="847"/>
      <c r="C36" s="847"/>
      <c r="D36" s="831"/>
      <c r="E36" s="831"/>
      <c r="F36" s="831"/>
      <c r="G36" s="831"/>
      <c r="H36" s="831"/>
      <c r="I36" s="831"/>
      <c r="J36" s="831"/>
    </row>
    <row r="37" spans="2:10">
      <c r="B37" s="993" t="s">
        <v>8</v>
      </c>
      <c r="C37" s="993"/>
      <c r="D37" s="994" t="s">
        <v>360</v>
      </c>
      <c r="E37" s="995"/>
      <c r="F37" s="995"/>
      <c r="G37" s="995"/>
      <c r="H37" s="995"/>
      <c r="I37" s="995"/>
      <c r="J37" s="831"/>
    </row>
    <row r="38" spans="2:10">
      <c r="B38" s="993"/>
      <c r="C38" s="993"/>
      <c r="D38" s="995"/>
      <c r="E38" s="995"/>
      <c r="F38" s="995"/>
      <c r="G38" s="995"/>
      <c r="H38" s="995"/>
      <c r="I38" s="995"/>
      <c r="J38" s="831"/>
    </row>
    <row r="39" spans="2:10">
      <c r="B39" s="993"/>
      <c r="C39" s="993"/>
      <c r="D39" s="995"/>
      <c r="E39" s="995"/>
      <c r="F39" s="995"/>
      <c r="G39" s="995"/>
      <c r="H39" s="995"/>
      <c r="I39" s="995"/>
      <c r="J39" s="831"/>
    </row>
    <row r="40" spans="2:10">
      <c r="B40" s="831"/>
      <c r="C40" s="831"/>
      <c r="D40" s="831"/>
      <c r="E40" s="831"/>
      <c r="F40" s="831"/>
      <c r="G40" s="831"/>
      <c r="H40" s="831"/>
      <c r="I40" s="831"/>
      <c r="J40" s="831"/>
    </row>
    <row r="41" spans="2:10" ht="15">
      <c r="B41" s="848" t="s">
        <v>361</v>
      </c>
      <c r="C41" s="848"/>
      <c r="D41" s="835" t="s">
        <v>362</v>
      </c>
      <c r="E41" s="849"/>
      <c r="F41" s="850"/>
      <c r="G41" s="850"/>
      <c r="H41" s="851"/>
      <c r="I41" s="836">
        <f ca="1">TODAY()</f>
        <v>46078</v>
      </c>
      <c r="J41" s="831"/>
    </row>
    <row r="42" spans="2:10">
      <c r="B42" s="848"/>
      <c r="C42" s="848"/>
      <c r="D42" s="852"/>
      <c r="E42" s="853"/>
      <c r="F42" s="854"/>
      <c r="G42" s="854"/>
      <c r="H42" s="855"/>
      <c r="I42" s="856"/>
      <c r="J42" s="831"/>
    </row>
  </sheetData>
  <mergeCells count="17">
    <mergeCell ref="B33:C35"/>
    <mergeCell ref="D33:I35"/>
    <mergeCell ref="B37:C39"/>
    <mergeCell ref="D37:I39"/>
    <mergeCell ref="B28:C31"/>
    <mergeCell ref="D28:I31"/>
    <mergeCell ref="C18:D18"/>
    <mergeCell ref="C19:D19"/>
    <mergeCell ref="C20:D20"/>
    <mergeCell ref="C21:D21"/>
    <mergeCell ref="C22:D22"/>
    <mergeCell ref="C16:F16"/>
    <mergeCell ref="B10:I11"/>
    <mergeCell ref="C12:F12"/>
    <mergeCell ref="C13:F13"/>
    <mergeCell ref="C14:F14"/>
    <mergeCell ref="C15:F15"/>
  </mergeCells>
  <hyperlinks>
    <hyperlink ref="C4" r:id="rId1" xr:uid="{50952F78-7F44-419D-9BD0-24D3269695D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EB83A0D-2869-49D1-8AB9-2DD73E9DD703}">
          <x14:formula1>
            <xm:f>Data!$N$3:$N$12</xm:f>
          </x14:formula1>
          <xm:sqref>D41</xm:sqref>
        </x14:dataValidation>
        <x14:dataValidation type="list" allowBlank="1" showInputMessage="1" showErrorMessage="1" xr:uid="{629BD472-0CF5-4039-8EA3-C81EC8675C50}">
          <x14:formula1>
            <xm:f>Data!$J$2:$J$168</xm:f>
          </x14:formula1>
          <xm:sqref>C12:F12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53125" defaultRowHeight="12.5"/>
  <cols>
    <col min="1" max="2" width="9.453125" style="73"/>
    <col min="3" max="3" width="13.453125" style="73" bestFit="1" customWidth="1"/>
    <col min="4" max="4" width="20.90625" style="73" bestFit="1" customWidth="1"/>
    <col min="5" max="5" width="9.453125" style="73"/>
    <col min="6" max="6" width="12.54296875" style="73" bestFit="1" customWidth="1"/>
    <col min="7" max="7" width="1.453125" style="73" customWidth="1"/>
    <col min="8" max="8" width="11.453125" style="73" bestFit="1" customWidth="1"/>
    <col min="9" max="9" width="9.453125" style="73"/>
    <col min="10" max="10" width="30.453125" style="73" bestFit="1" customWidth="1"/>
    <col min="11" max="11" width="9.453125" style="73"/>
    <col min="12" max="12" width="18.54296875" style="73" bestFit="1" customWidth="1"/>
    <col min="13" max="13" width="9.453125" style="73"/>
    <col min="14" max="14" width="16.08984375" style="73" bestFit="1" customWidth="1"/>
    <col min="15" max="16384" width="9.453125" style="73"/>
  </cols>
  <sheetData>
    <row r="1" spans="3:14" ht="13.5" thickBot="1">
      <c r="J1" s="857" t="s">
        <v>852</v>
      </c>
    </row>
    <row r="2" spans="3:14" ht="13" thickBot="1">
      <c r="C2" s="83" t="s">
        <v>853</v>
      </c>
      <c r="F2" s="83" t="s">
        <v>854</v>
      </c>
      <c r="H2" s="83" t="s">
        <v>115</v>
      </c>
      <c r="J2" s="858" t="e" vm="1">
        <f>[1]!Table1[[#This Row],[Supplier]]</f>
        <v>#REF!</v>
      </c>
      <c r="L2" s="859" t="s">
        <v>855</v>
      </c>
      <c r="N2" s="859" t="s">
        <v>856</v>
      </c>
    </row>
    <row r="3" spans="3:14">
      <c r="C3" s="79">
        <v>45658</v>
      </c>
      <c r="D3" s="73" t="s">
        <v>857</v>
      </c>
      <c r="F3" s="81" t="s">
        <v>858</v>
      </c>
      <c r="H3" s="740" t="s">
        <v>131</v>
      </c>
      <c r="J3" s="858" t="e" vm="1">
        <f>[1]!Table1[[#This Row],[Supplier]]</f>
        <v>#REF!</v>
      </c>
      <c r="L3" s="81" t="s">
        <v>859</v>
      </c>
      <c r="N3" s="81" t="s">
        <v>65</v>
      </c>
    </row>
    <row r="4" spans="3:14">
      <c r="C4" s="79">
        <v>45737</v>
      </c>
      <c r="D4" s="73" t="s">
        <v>860</v>
      </c>
      <c r="F4" s="81" t="s">
        <v>141</v>
      </c>
      <c r="H4" s="741" t="s">
        <v>136</v>
      </c>
      <c r="J4" s="858" t="e" vm="1">
        <f>[1]!Table1[[#This Row],[Supplier]]</f>
        <v>#REF!</v>
      </c>
      <c r="L4" s="81" t="s">
        <v>502</v>
      </c>
      <c r="N4" s="81" t="s">
        <v>861</v>
      </c>
    </row>
    <row r="5" spans="3:14" ht="13" thickBot="1">
      <c r="C5" s="79">
        <v>45765</v>
      </c>
      <c r="D5" s="73" t="s">
        <v>862</v>
      </c>
      <c r="F5" s="81" t="s">
        <v>126</v>
      </c>
      <c r="H5" s="742" t="s">
        <v>124</v>
      </c>
      <c r="J5" s="858" t="e" vm="1">
        <f>[1]!Table1[[#This Row],[Supplier]]</f>
        <v>#REF!</v>
      </c>
      <c r="L5" s="81" t="s">
        <v>863</v>
      </c>
      <c r="N5" s="81" t="s">
        <v>864</v>
      </c>
    </row>
    <row r="6" spans="3:14">
      <c r="C6" s="79">
        <v>45768</v>
      </c>
      <c r="D6" s="73" t="s">
        <v>865</v>
      </c>
      <c r="F6" s="81" t="s">
        <v>866</v>
      </c>
      <c r="J6" s="858" t="e" vm="1">
        <f>[1]!Table1[[#This Row],[Supplier]]</f>
        <v>#REF!</v>
      </c>
      <c r="L6" s="81" t="s">
        <v>867</v>
      </c>
      <c r="N6" s="81" t="s">
        <v>868</v>
      </c>
    </row>
    <row r="7" spans="3:14">
      <c r="C7" s="79">
        <v>45774</v>
      </c>
      <c r="D7" s="73" t="s">
        <v>869</v>
      </c>
      <c r="F7" s="81" t="s">
        <v>870</v>
      </c>
      <c r="J7" s="858" t="e" vm="1">
        <f>[1]!Table1[[#This Row],[Supplier]]</f>
        <v>#REF!</v>
      </c>
      <c r="L7" s="81" t="s">
        <v>871</v>
      </c>
      <c r="N7" s="81" t="s">
        <v>872</v>
      </c>
    </row>
    <row r="8" spans="3:14">
      <c r="C8" s="79">
        <v>45765</v>
      </c>
      <c r="D8" s="73" t="s">
        <v>873</v>
      </c>
      <c r="F8" s="81" t="s">
        <v>874</v>
      </c>
      <c r="J8" s="858" t="e" vm="1">
        <f>[1]!Table1[[#This Row],[Supplier]]</f>
        <v>#REF!</v>
      </c>
      <c r="L8" s="81" t="s">
        <v>54</v>
      </c>
      <c r="N8" s="81" t="s">
        <v>875</v>
      </c>
    </row>
    <row r="9" spans="3:14" ht="13" thickBot="1">
      <c r="C9" s="79">
        <v>45778</v>
      </c>
      <c r="D9" s="73" t="s">
        <v>876</v>
      </c>
      <c r="F9" s="82"/>
      <c r="J9" s="858" t="e" vm="1">
        <f>[1]!Table1[[#This Row],[Supplier]]</f>
        <v>#REF!</v>
      </c>
      <c r="L9" s="81" t="s">
        <v>877</v>
      </c>
      <c r="N9" s="81" t="s">
        <v>362</v>
      </c>
    </row>
    <row r="10" spans="3:14">
      <c r="C10" s="79">
        <v>45824</v>
      </c>
      <c r="D10" s="73" t="s">
        <v>878</v>
      </c>
      <c r="J10" s="858" t="e" vm="1">
        <f>[1]!Table1[[#This Row],[Supplier]]</f>
        <v>#REF!</v>
      </c>
      <c r="L10" s="81" t="s">
        <v>879</v>
      </c>
      <c r="N10" s="81" t="s">
        <v>880</v>
      </c>
    </row>
    <row r="11" spans="3:14">
      <c r="C11" s="79">
        <v>45878</v>
      </c>
      <c r="D11" s="73" t="s">
        <v>881</v>
      </c>
      <c r="J11" s="858" t="e" vm="1">
        <f>[1]!Table1[[#This Row],[Supplier]]</f>
        <v>#REF!</v>
      </c>
      <c r="L11" s="81" t="s">
        <v>882</v>
      </c>
      <c r="N11" s="81" t="s">
        <v>883</v>
      </c>
    </row>
    <row r="12" spans="3:14" ht="13" thickBot="1">
      <c r="C12" s="79">
        <v>45924</v>
      </c>
      <c r="D12" s="73" t="s">
        <v>884</v>
      </c>
      <c r="J12" s="858" t="e" vm="1">
        <f>[1]!Table1[[#This Row],[Supplier]]</f>
        <v>#REF!</v>
      </c>
      <c r="L12" s="82" t="s">
        <v>885</v>
      </c>
      <c r="N12" s="82"/>
    </row>
    <row r="13" spans="3:14">
      <c r="C13" s="79">
        <v>46006</v>
      </c>
      <c r="D13" s="73" t="s">
        <v>886</v>
      </c>
      <c r="J13" s="858" t="e" vm="1">
        <f>[1]!Table1[[#This Row],[Supplier]]</f>
        <v>#REF!</v>
      </c>
    </row>
    <row r="14" spans="3:14">
      <c r="C14" s="79">
        <v>46007</v>
      </c>
      <c r="D14" s="73" t="s">
        <v>886</v>
      </c>
      <c r="J14" s="858" t="e" vm="1">
        <f>[1]!Table1[[#This Row],[Supplier]]</f>
        <v>#REF!</v>
      </c>
    </row>
    <row r="15" spans="3:14">
      <c r="C15" s="79">
        <v>46008</v>
      </c>
      <c r="D15" s="73" t="s">
        <v>886</v>
      </c>
      <c r="J15" s="858" t="e" vm="1">
        <f>[1]!Table1[[#This Row],[Supplier]]</f>
        <v>#REF!</v>
      </c>
    </row>
    <row r="16" spans="3:14">
      <c r="C16" s="79">
        <v>46009</v>
      </c>
      <c r="D16" s="73" t="s">
        <v>886</v>
      </c>
      <c r="J16" s="858" t="e" vm="1">
        <f>[1]!Table1[[#This Row],[Supplier]]</f>
        <v>#REF!</v>
      </c>
    </row>
    <row r="17" spans="3:10">
      <c r="C17" s="79">
        <v>46010</v>
      </c>
      <c r="D17" s="73" t="s">
        <v>886</v>
      </c>
      <c r="J17" s="858" t="e" vm="1">
        <f>[1]!Table1[[#This Row],[Supplier]]</f>
        <v>#REF!</v>
      </c>
    </row>
    <row r="18" spans="3:10">
      <c r="C18" s="79">
        <v>46011</v>
      </c>
      <c r="D18" s="73" t="s">
        <v>886</v>
      </c>
      <c r="J18" s="858" t="e" vm="1">
        <f>[1]!Table1[[#This Row],[Supplier]]</f>
        <v>#REF!</v>
      </c>
    </row>
    <row r="19" spans="3:10">
      <c r="C19" s="79">
        <v>46012</v>
      </c>
      <c r="D19" s="73" t="s">
        <v>886</v>
      </c>
      <c r="J19" s="858" t="e" vm="1">
        <f>[1]!Table1[[#This Row],[Supplier]]</f>
        <v>#REF!</v>
      </c>
    </row>
    <row r="20" spans="3:10">
      <c r="C20" s="79">
        <v>46013</v>
      </c>
      <c r="D20" s="73" t="s">
        <v>886</v>
      </c>
      <c r="J20" s="858" t="e" vm="1">
        <f>[1]!Table1[[#This Row],[Supplier]]</f>
        <v>#REF!</v>
      </c>
    </row>
    <row r="21" spans="3:10">
      <c r="C21" s="79">
        <v>46014</v>
      </c>
      <c r="D21" s="73" t="s">
        <v>886</v>
      </c>
      <c r="J21" s="858" t="e" vm="1">
        <f>[1]!Table1[[#This Row],[Supplier]]</f>
        <v>#REF!</v>
      </c>
    </row>
    <row r="22" spans="3:10">
      <c r="C22" s="79">
        <v>46015</v>
      </c>
      <c r="D22" s="73" t="s">
        <v>886</v>
      </c>
      <c r="J22" s="858" t="e" vm="1">
        <f>[1]!Table1[[#This Row],[Supplier]]</f>
        <v>#REF!</v>
      </c>
    </row>
    <row r="23" spans="3:10">
      <c r="C23" s="79">
        <v>46016</v>
      </c>
      <c r="D23" s="73" t="s">
        <v>886</v>
      </c>
      <c r="J23" s="858" t="e" vm="1">
        <f>[1]!Table1[[#This Row],[Supplier]]</f>
        <v>#REF!</v>
      </c>
    </row>
    <row r="24" spans="3:10">
      <c r="C24" s="79">
        <v>46017</v>
      </c>
      <c r="D24" s="73" t="s">
        <v>886</v>
      </c>
      <c r="J24" s="858" t="e" vm="1">
        <f>[1]!Table1[[#This Row],[Supplier]]</f>
        <v>#REF!</v>
      </c>
    </row>
    <row r="25" spans="3:10">
      <c r="C25" s="79">
        <v>46018</v>
      </c>
      <c r="D25" s="73" t="s">
        <v>886</v>
      </c>
      <c r="J25" s="858" t="e" vm="1">
        <f>[1]!Table1[[#This Row],[Supplier]]</f>
        <v>#REF!</v>
      </c>
    </row>
    <row r="26" spans="3:10">
      <c r="C26" s="79">
        <v>46019</v>
      </c>
      <c r="D26" s="73" t="s">
        <v>886</v>
      </c>
      <c r="J26" s="858" t="e" vm="1">
        <f>[1]!Table1[[#This Row],[Supplier]]</f>
        <v>#REF!</v>
      </c>
    </row>
    <row r="27" spans="3:10">
      <c r="C27" s="79">
        <v>46020</v>
      </c>
      <c r="D27" s="73" t="s">
        <v>886</v>
      </c>
      <c r="J27" s="858" t="e" vm="1">
        <f>[1]!Table1[[#This Row],[Supplier]]</f>
        <v>#REF!</v>
      </c>
    </row>
    <row r="28" spans="3:10">
      <c r="C28" s="79">
        <v>46021</v>
      </c>
      <c r="D28" s="73" t="s">
        <v>886</v>
      </c>
      <c r="J28" s="858" t="e" vm="1">
        <f>[1]!Table1[[#This Row],[Supplier]]</f>
        <v>#REF!</v>
      </c>
    </row>
    <row r="29" spans="3:10">
      <c r="C29" s="79">
        <v>46022</v>
      </c>
      <c r="D29" s="73" t="s">
        <v>886</v>
      </c>
      <c r="J29" s="858" t="e" vm="1">
        <f>[1]!Table1[[#This Row],[Supplier]]</f>
        <v>#REF!</v>
      </c>
    </row>
    <row r="30" spans="3:10">
      <c r="C30" s="79">
        <v>46023</v>
      </c>
      <c r="D30" s="73" t="s">
        <v>886</v>
      </c>
      <c r="J30" s="858" t="e" vm="1">
        <f>[1]!Table1[[#This Row],[Supplier]]</f>
        <v>#REF!</v>
      </c>
    </row>
    <row r="31" spans="3:10">
      <c r="C31" s="79">
        <v>46024</v>
      </c>
      <c r="D31" s="73" t="s">
        <v>886</v>
      </c>
      <c r="J31" s="858" t="e" vm="1">
        <f>[1]!Table1[[#This Row],[Supplier]]</f>
        <v>#REF!</v>
      </c>
    </row>
    <row r="32" spans="3:10">
      <c r="C32" s="79">
        <v>46025</v>
      </c>
      <c r="D32" s="73" t="s">
        <v>886</v>
      </c>
      <c r="J32" s="858" t="e" vm="1">
        <f>[1]!Table1[[#This Row],[Supplier]]</f>
        <v>#REF!</v>
      </c>
    </row>
    <row r="33" spans="3:10">
      <c r="C33" s="79">
        <v>46026</v>
      </c>
      <c r="D33" s="73" t="s">
        <v>886</v>
      </c>
      <c r="J33" s="858" t="e" vm="1">
        <f>[1]!Table1[[#This Row],[Supplier]]</f>
        <v>#REF!</v>
      </c>
    </row>
    <row r="34" spans="3:10">
      <c r="C34" s="79">
        <v>46027</v>
      </c>
      <c r="D34" s="73" t="s">
        <v>886</v>
      </c>
      <c r="J34" s="858" t="e" vm="1">
        <f>[1]!Table1[[#This Row],[Supplier]]</f>
        <v>#REF!</v>
      </c>
    </row>
    <row r="35" spans="3:10">
      <c r="C35" s="79">
        <v>46028</v>
      </c>
      <c r="D35" s="73" t="s">
        <v>886</v>
      </c>
      <c r="J35" s="858" t="e" vm="1">
        <f>[1]!Table1[[#This Row],[Supplier]]</f>
        <v>#REF!</v>
      </c>
    </row>
    <row r="36" spans="3:10">
      <c r="C36" s="79">
        <v>46029</v>
      </c>
      <c r="D36" s="73" t="s">
        <v>886</v>
      </c>
      <c r="J36" s="858" t="e" vm="1">
        <f>[1]!Table1[[#This Row],[Supplier]]</f>
        <v>#REF!</v>
      </c>
    </row>
    <row r="37" spans="3:10">
      <c r="C37" s="79">
        <v>46030</v>
      </c>
      <c r="D37" s="73" t="s">
        <v>886</v>
      </c>
      <c r="J37" s="858" t="e" vm="1">
        <f>[1]!Table1[[#This Row],[Supplier]]</f>
        <v>#REF!</v>
      </c>
    </row>
    <row r="38" spans="3:10">
      <c r="C38" s="79">
        <v>46031</v>
      </c>
      <c r="D38" s="73" t="s">
        <v>886</v>
      </c>
      <c r="J38" s="858" t="e" vm="1">
        <f>[1]!Table1[[#This Row],[Supplier]]</f>
        <v>#REF!</v>
      </c>
    </row>
    <row r="39" spans="3:10">
      <c r="C39" s="79">
        <v>46032</v>
      </c>
      <c r="D39" s="73" t="s">
        <v>886</v>
      </c>
      <c r="J39" s="858" t="e" vm="1">
        <f>[1]!Table1[[#This Row],[Supplier]]</f>
        <v>#REF!</v>
      </c>
    </row>
    <row r="40" spans="3:10">
      <c r="C40" s="79">
        <v>46033</v>
      </c>
      <c r="D40" s="73" t="s">
        <v>886</v>
      </c>
      <c r="J40" s="858" t="e" vm="1">
        <f>[1]!Table1[[#This Row],[Supplier]]</f>
        <v>#REF!</v>
      </c>
    </row>
    <row r="41" spans="3:10">
      <c r="C41" s="79">
        <v>46034</v>
      </c>
      <c r="D41" s="73" t="s">
        <v>886</v>
      </c>
      <c r="J41" s="858" t="e" vm="1">
        <f>[1]!Table1[[#This Row],[Supplier]]</f>
        <v>#REF!</v>
      </c>
    </row>
    <row r="42" spans="3:10">
      <c r="C42" s="79">
        <v>46035</v>
      </c>
      <c r="D42" s="73" t="s">
        <v>886</v>
      </c>
      <c r="J42" s="858" t="e" vm="1">
        <f>[1]!Table1[[#This Row],[Supplier]]</f>
        <v>#REF!</v>
      </c>
    </row>
    <row r="43" spans="3:10">
      <c r="C43" s="79">
        <v>46036</v>
      </c>
      <c r="D43" s="73" t="s">
        <v>886</v>
      </c>
      <c r="J43" s="858" t="e" vm="1">
        <f>[1]!Table1[[#This Row],[Supplier]]</f>
        <v>#REF!</v>
      </c>
    </row>
    <row r="44" spans="3:10">
      <c r="C44" s="79">
        <v>46037</v>
      </c>
      <c r="D44" s="73" t="s">
        <v>886</v>
      </c>
      <c r="J44" s="858" t="e" vm="1">
        <f>[1]!Table1[[#This Row],[Supplier]]</f>
        <v>#REF!</v>
      </c>
    </row>
    <row r="45" spans="3:10">
      <c r="C45" s="79">
        <v>46038</v>
      </c>
      <c r="D45" s="73" t="s">
        <v>886</v>
      </c>
      <c r="J45" s="858" t="e" vm="1">
        <f>[1]!Table1[[#This Row],[Supplier]]</f>
        <v>#REF!</v>
      </c>
    </row>
    <row r="46" spans="3:10">
      <c r="C46" s="79">
        <v>46102</v>
      </c>
      <c r="D46" s="73" t="s">
        <v>860</v>
      </c>
      <c r="J46" s="858" t="e" vm="1">
        <f>[1]!Table1[[#This Row],[Supplier]]</f>
        <v>#REF!</v>
      </c>
    </row>
    <row r="47" spans="3:10">
      <c r="C47" s="79">
        <v>46115</v>
      </c>
      <c r="D47" s="73" t="s">
        <v>862</v>
      </c>
      <c r="J47" s="858" t="e" vm="1">
        <f>[1]!Table1[[#This Row],[Supplier]]</f>
        <v>#REF!</v>
      </c>
    </row>
    <row r="48" spans="3:10">
      <c r="C48" s="79">
        <v>46118</v>
      </c>
      <c r="D48" s="73" t="s">
        <v>865</v>
      </c>
      <c r="J48" s="858" t="e" vm="1">
        <f>[1]!Table1[[#This Row],[Supplier]]</f>
        <v>#REF!</v>
      </c>
    </row>
    <row r="49" spans="3:10">
      <c r="C49" s="79">
        <v>46139</v>
      </c>
      <c r="D49" s="73" t="s">
        <v>869</v>
      </c>
      <c r="J49" s="858" t="e" vm="1">
        <f>[1]!Table1[[#This Row],[Supplier]]</f>
        <v>#REF!</v>
      </c>
    </row>
    <row r="50" spans="3:10">
      <c r="C50" s="79">
        <v>46143</v>
      </c>
      <c r="D50" s="73" t="s">
        <v>876</v>
      </c>
      <c r="J50" s="858" t="e" vm="1">
        <f>[1]!Table1[[#This Row],[Supplier]]</f>
        <v>#REF!</v>
      </c>
    </row>
    <row r="51" spans="3:10">
      <c r="C51" s="79">
        <v>46189</v>
      </c>
      <c r="D51" s="73" t="s">
        <v>878</v>
      </c>
      <c r="J51" s="858" t="e" vm="1">
        <f>[1]!Table1[[#This Row],[Supplier]]</f>
        <v>#REF!</v>
      </c>
    </row>
    <row r="52" spans="3:10">
      <c r="C52" s="79">
        <v>46243</v>
      </c>
      <c r="D52" s="73" t="s">
        <v>881</v>
      </c>
      <c r="J52" s="858" t="e" vm="1">
        <f>[1]!Table1[[#This Row],[Supplier]]</f>
        <v>#REF!</v>
      </c>
    </row>
    <row r="53" spans="3:10">
      <c r="C53" s="79">
        <v>46244</v>
      </c>
      <c r="D53" s="73" t="s">
        <v>887</v>
      </c>
      <c r="J53" s="858" t="e" vm="1">
        <f>[1]!Table1[[#This Row],[Supplier]]</f>
        <v>#REF!</v>
      </c>
    </row>
    <row r="54" spans="3:10">
      <c r="C54" s="79">
        <v>46289</v>
      </c>
      <c r="D54" s="73" t="s">
        <v>884</v>
      </c>
      <c r="J54" s="858" t="e" vm="1">
        <f>[1]!Table1[[#This Row],[Supplier]]</f>
        <v>#REF!</v>
      </c>
    </row>
    <row r="55" spans="3:10">
      <c r="C55" s="79">
        <v>46372</v>
      </c>
      <c r="D55" s="73" t="s">
        <v>888</v>
      </c>
      <c r="J55" s="858" t="e" vm="1">
        <f>[1]!Table1[[#This Row],[Supplier]]</f>
        <v>#REF!</v>
      </c>
    </row>
    <row r="56" spans="3:10">
      <c r="C56" s="79">
        <v>46381</v>
      </c>
      <c r="D56" s="73" t="s">
        <v>889</v>
      </c>
      <c r="J56" s="858" t="e" vm="1">
        <f>[1]!Table1[[#This Row],[Supplier]]</f>
        <v>#REF!</v>
      </c>
    </row>
    <row r="57" spans="3:10" ht="13" thickBot="1">
      <c r="C57" s="80">
        <v>46382</v>
      </c>
      <c r="D57" s="73" t="s">
        <v>890</v>
      </c>
      <c r="J57" s="858" t="e" vm="1">
        <f>[1]!Table1[[#This Row],[Supplier]]</f>
        <v>#REF!</v>
      </c>
    </row>
    <row r="58" spans="3:10">
      <c r="J58" s="858" t="e" vm="1">
        <f>[1]!Table1[[#This Row],[Supplier]]</f>
        <v>#REF!</v>
      </c>
    </row>
    <row r="59" spans="3:10">
      <c r="J59" s="858" t="e" vm="1">
        <f>[1]!Table1[[#This Row],[Supplier]]</f>
        <v>#REF!</v>
      </c>
    </row>
    <row r="60" spans="3:10">
      <c r="J60" s="858" t="e" vm="1">
        <f>[1]!Table1[[#This Row],[Supplier]]</f>
        <v>#REF!</v>
      </c>
    </row>
    <row r="61" spans="3:10">
      <c r="J61" s="858" t="e" vm="1">
        <f>[1]!Table1[[#This Row],[Supplier]]</f>
        <v>#REF!</v>
      </c>
    </row>
    <row r="62" spans="3:10">
      <c r="J62" s="858" t="e" vm="1">
        <f>[1]!Table1[[#This Row],[Supplier]]</f>
        <v>#REF!</v>
      </c>
    </row>
    <row r="63" spans="3:10">
      <c r="J63" s="858" t="e" vm="1">
        <f>[1]!Table1[[#This Row],[Supplier]]</f>
        <v>#REF!</v>
      </c>
    </row>
    <row r="64" spans="3:10">
      <c r="J64" s="858" t="e" vm="1">
        <f>[1]!Table1[[#This Row],[Supplier]]</f>
        <v>#REF!</v>
      </c>
    </row>
    <row r="65" spans="10:10">
      <c r="J65" s="858" t="e" vm="1">
        <f>[1]!Table1[[#This Row],[Supplier]]</f>
        <v>#REF!</v>
      </c>
    </row>
    <row r="66" spans="10:10">
      <c r="J66" s="858" t="e" vm="1">
        <f>[1]!Table1[[#This Row],[Supplier]]</f>
        <v>#REF!</v>
      </c>
    </row>
    <row r="67" spans="10:10">
      <c r="J67" s="858" t="e" vm="1">
        <f>[1]!Table1[[#This Row],[Supplier]]</f>
        <v>#REF!</v>
      </c>
    </row>
    <row r="68" spans="10:10">
      <c r="J68" s="858" t="e" vm="1">
        <f>[1]!Table1[[#This Row],[Supplier]]</f>
        <v>#REF!</v>
      </c>
    </row>
    <row r="69" spans="10:10">
      <c r="J69" s="858" t="e" vm="1">
        <f>[1]!Table1[[#This Row],[Supplier]]</f>
        <v>#REF!</v>
      </c>
    </row>
    <row r="70" spans="10:10">
      <c r="J70" s="858" t="e" vm="1">
        <f>[1]!Table1[[#This Row],[Supplier]]</f>
        <v>#REF!</v>
      </c>
    </row>
    <row r="71" spans="10:10">
      <c r="J71" s="858" t="e" vm="1">
        <f>[1]!Table1[[#This Row],[Supplier]]</f>
        <v>#REF!</v>
      </c>
    </row>
    <row r="72" spans="10:10">
      <c r="J72" s="858" t="e" vm="1">
        <f>[1]!Table1[[#This Row],[Supplier]]</f>
        <v>#REF!</v>
      </c>
    </row>
    <row r="73" spans="10:10">
      <c r="J73" s="858" t="e" vm="1">
        <f>[1]!Table1[[#This Row],[Supplier]]</f>
        <v>#REF!</v>
      </c>
    </row>
    <row r="74" spans="10:10">
      <c r="J74" s="858" t="e" vm="1">
        <f>[1]!Table1[[#This Row],[Supplier]]</f>
        <v>#REF!</v>
      </c>
    </row>
    <row r="75" spans="10:10">
      <c r="J75" s="858" t="e" vm="1">
        <f>[1]!Table1[[#This Row],[Supplier]]</f>
        <v>#REF!</v>
      </c>
    </row>
    <row r="76" spans="10:10">
      <c r="J76" s="858" t="e" vm="1">
        <f>[1]!Table1[[#This Row],[Supplier]]</f>
        <v>#REF!</v>
      </c>
    </row>
    <row r="77" spans="10:10">
      <c r="J77" s="858" t="e" vm="1">
        <f>[1]!Table1[[#This Row],[Supplier]]</f>
        <v>#REF!</v>
      </c>
    </row>
    <row r="78" spans="10:10">
      <c r="J78" s="858" t="e" vm="1">
        <f>[1]!Table1[[#This Row],[Supplier]]</f>
        <v>#REF!</v>
      </c>
    </row>
    <row r="79" spans="10:10">
      <c r="J79" s="858" t="e" vm="1">
        <f>[1]!Table1[[#This Row],[Supplier]]</f>
        <v>#REF!</v>
      </c>
    </row>
    <row r="80" spans="10:10">
      <c r="J80" s="858" t="e" vm="1">
        <f>[1]!Table1[[#This Row],[Supplier]]</f>
        <v>#REF!</v>
      </c>
    </row>
    <row r="81" spans="10:10">
      <c r="J81" s="858" t="e" vm="1">
        <f>[1]!Table1[[#This Row],[Supplier]]</f>
        <v>#REF!</v>
      </c>
    </row>
    <row r="82" spans="10:10">
      <c r="J82" s="858" t="e" vm="1">
        <f>[1]!Table1[[#This Row],[Supplier]]</f>
        <v>#REF!</v>
      </c>
    </row>
    <row r="83" spans="10:10">
      <c r="J83" s="858" t="e" vm="1">
        <f>[1]!Table1[[#This Row],[Supplier]]</f>
        <v>#REF!</v>
      </c>
    </row>
    <row r="84" spans="10:10">
      <c r="J84" s="858" t="e" vm="1">
        <f>[1]!Table1[[#This Row],[Supplier]]</f>
        <v>#REF!</v>
      </c>
    </row>
    <row r="85" spans="10:10">
      <c r="J85" s="858" t="e" vm="1">
        <f>[1]!Table1[[#This Row],[Supplier]]</f>
        <v>#REF!</v>
      </c>
    </row>
    <row r="86" spans="10:10">
      <c r="J86" s="858" t="e" vm="1">
        <f>[1]!Table1[[#This Row],[Supplier]]</f>
        <v>#REF!</v>
      </c>
    </row>
    <row r="87" spans="10:10">
      <c r="J87" s="858" t="e" vm="1">
        <f>[1]!Table1[[#This Row],[Supplier]]</f>
        <v>#REF!</v>
      </c>
    </row>
    <row r="88" spans="10:10">
      <c r="J88" s="858" t="e" vm="1">
        <f>[1]!Table1[[#This Row],[Supplier]]</f>
        <v>#REF!</v>
      </c>
    </row>
    <row r="89" spans="10:10">
      <c r="J89" s="858" t="e" vm="1">
        <f>[1]!Table1[[#This Row],[Supplier]]</f>
        <v>#REF!</v>
      </c>
    </row>
    <row r="90" spans="10:10">
      <c r="J90" s="858" t="e" vm="1">
        <f>[1]!Table1[[#This Row],[Supplier]]</f>
        <v>#REF!</v>
      </c>
    </row>
    <row r="91" spans="10:10">
      <c r="J91" s="858" t="e" vm="1">
        <f>[1]!Table1[[#This Row],[Supplier]]</f>
        <v>#REF!</v>
      </c>
    </row>
    <row r="92" spans="10:10">
      <c r="J92" s="858" t="e" vm="1">
        <f>[1]!Table1[[#This Row],[Supplier]]</f>
        <v>#REF!</v>
      </c>
    </row>
    <row r="93" spans="10:10">
      <c r="J93" s="858" t="e" vm="1">
        <f>[1]!Table1[[#This Row],[Supplier]]</f>
        <v>#REF!</v>
      </c>
    </row>
    <row r="94" spans="10:10">
      <c r="J94" s="858" t="e" vm="1">
        <f>[1]!Table1[[#This Row],[Supplier]]</f>
        <v>#REF!</v>
      </c>
    </row>
    <row r="95" spans="10:10">
      <c r="J95" s="858" t="e" vm="1">
        <f>[1]!Table1[[#This Row],[Supplier]]</f>
        <v>#REF!</v>
      </c>
    </row>
    <row r="96" spans="10:10">
      <c r="J96" s="858" t="e" vm="1">
        <f>[1]!Table1[[#This Row],[Supplier]]</f>
        <v>#REF!</v>
      </c>
    </row>
    <row r="97" spans="10:10">
      <c r="J97" s="858" t="e" vm="1">
        <f>[1]!Table1[[#This Row],[Supplier]]</f>
        <v>#REF!</v>
      </c>
    </row>
    <row r="98" spans="10:10">
      <c r="J98" s="858" t="e" vm="1">
        <f>[1]!Table1[[#This Row],[Supplier]]</f>
        <v>#REF!</v>
      </c>
    </row>
    <row r="99" spans="10:10">
      <c r="J99" s="858" t="e" vm="1">
        <f>[1]!Table1[[#This Row],[Supplier]]</f>
        <v>#REF!</v>
      </c>
    </row>
    <row r="100" spans="10:10">
      <c r="J100" s="858" t="e" vm="1">
        <f>[1]!Table1[[#This Row],[Supplier]]</f>
        <v>#REF!</v>
      </c>
    </row>
    <row r="101" spans="10:10">
      <c r="J101" s="858" t="e" vm="1">
        <f>[1]!Table1[[#This Row],[Supplier]]</f>
        <v>#REF!</v>
      </c>
    </row>
    <row r="102" spans="10:10">
      <c r="J102" s="858" t="e" vm="1">
        <f>[1]!Table1[[#This Row],[Supplier]]</f>
        <v>#REF!</v>
      </c>
    </row>
    <row r="103" spans="10:10">
      <c r="J103" s="858" t="e" vm="1">
        <f>[1]!Table1[[#This Row],[Supplier]]</f>
        <v>#REF!</v>
      </c>
    </row>
    <row r="104" spans="10:10">
      <c r="J104" s="858" t="e" vm="1">
        <f>[1]!Table1[[#This Row],[Supplier]]</f>
        <v>#REF!</v>
      </c>
    </row>
    <row r="105" spans="10:10">
      <c r="J105" s="858" t="e" vm="1">
        <f>[1]!Table1[[#This Row],[Supplier]]</f>
        <v>#REF!</v>
      </c>
    </row>
    <row r="106" spans="10:10">
      <c r="J106" s="858" t="e" vm="1">
        <f>[1]!Table1[[#This Row],[Supplier]]</f>
        <v>#REF!</v>
      </c>
    </row>
    <row r="107" spans="10:10">
      <c r="J107" s="858" t="e" vm="1">
        <f>[1]!Table1[[#This Row],[Supplier]]</f>
        <v>#REF!</v>
      </c>
    </row>
    <row r="108" spans="10:10">
      <c r="J108" s="858" t="e" vm="1">
        <f>[1]!Table1[[#This Row],[Supplier]]</f>
        <v>#REF!</v>
      </c>
    </row>
    <row r="109" spans="10:10">
      <c r="J109" s="858" t="e" vm="1">
        <f>[1]!Table1[[#This Row],[Supplier]]</f>
        <v>#REF!</v>
      </c>
    </row>
    <row r="110" spans="10:10">
      <c r="J110" s="858" t="e" vm="1">
        <f>[1]!Table1[[#This Row],[Supplier]]</f>
        <v>#REF!</v>
      </c>
    </row>
    <row r="111" spans="10:10">
      <c r="J111" s="858" t="e" vm="1">
        <f>[1]!Table1[[#This Row],[Supplier]]</f>
        <v>#REF!</v>
      </c>
    </row>
    <row r="112" spans="10:10">
      <c r="J112" s="858" t="e" vm="1">
        <f>[1]!Table1[[#This Row],[Supplier]]</f>
        <v>#REF!</v>
      </c>
    </row>
    <row r="113" spans="10:10">
      <c r="J113" s="858" t="e" vm="1">
        <f>[1]!Table1[[#This Row],[Supplier]]</f>
        <v>#REF!</v>
      </c>
    </row>
    <row r="114" spans="10:10">
      <c r="J114" s="858" t="e" vm="1">
        <f>[1]!Table1[[#This Row],[Supplier]]</f>
        <v>#REF!</v>
      </c>
    </row>
    <row r="115" spans="10:10">
      <c r="J115" s="858" t="e" vm="1">
        <f>[1]!Table1[[#This Row],[Supplier]]</f>
        <v>#REF!</v>
      </c>
    </row>
    <row r="116" spans="10:10">
      <c r="J116" s="858" t="e" vm="1">
        <f>[1]!Table1[[#This Row],[Supplier]]</f>
        <v>#REF!</v>
      </c>
    </row>
    <row r="117" spans="10:10">
      <c r="J117" s="858" t="e" vm="1">
        <f>[1]!Table1[[#This Row],[Supplier]]</f>
        <v>#REF!</v>
      </c>
    </row>
    <row r="118" spans="10:10">
      <c r="J118" s="858" t="e" vm="1">
        <f>[1]!Table1[[#This Row],[Supplier]]</f>
        <v>#REF!</v>
      </c>
    </row>
    <row r="119" spans="10:10">
      <c r="J119" s="858" t="e" vm="1">
        <f>[1]!Table1[[#This Row],[Supplier]]</f>
        <v>#REF!</v>
      </c>
    </row>
    <row r="120" spans="10:10">
      <c r="J120" s="858" t="e" vm="1">
        <f>[1]!Table1[[#This Row],[Supplier]]</f>
        <v>#REF!</v>
      </c>
    </row>
    <row r="121" spans="10:10">
      <c r="J121" s="858" t="e" vm="1">
        <f>[1]!Table1[[#This Row],[Supplier]]</f>
        <v>#REF!</v>
      </c>
    </row>
    <row r="122" spans="10:10">
      <c r="J122" s="858" t="e" vm="1">
        <f>[1]!Table1[[#This Row],[Supplier]]</f>
        <v>#REF!</v>
      </c>
    </row>
    <row r="123" spans="10:10">
      <c r="J123" s="858" t="e" vm="1">
        <f>[1]!Table1[[#This Row],[Supplier]]</f>
        <v>#REF!</v>
      </c>
    </row>
    <row r="124" spans="10:10">
      <c r="J124" s="858" t="e" vm="1">
        <f>[1]!Table1[[#This Row],[Supplier]]</f>
        <v>#REF!</v>
      </c>
    </row>
    <row r="125" spans="10:10">
      <c r="J125" s="858" t="e" vm="1">
        <f>[1]!Table1[[#This Row],[Supplier]]</f>
        <v>#REF!</v>
      </c>
    </row>
    <row r="126" spans="10:10">
      <c r="J126" s="858" t="e" vm="1">
        <f>[1]!Table1[[#This Row],[Supplier]]</f>
        <v>#REF!</v>
      </c>
    </row>
    <row r="127" spans="10:10">
      <c r="J127" s="858" t="e" vm="1">
        <f>[1]!Table1[[#This Row],[Supplier]]</f>
        <v>#REF!</v>
      </c>
    </row>
    <row r="128" spans="10:10">
      <c r="J128" s="858" t="e" vm="1">
        <f>[1]!Table1[[#This Row],[Supplier]]</f>
        <v>#REF!</v>
      </c>
    </row>
    <row r="129" spans="10:10">
      <c r="J129" s="858" t="e" vm="1">
        <f>[1]!Table1[[#This Row],[Supplier]]</f>
        <v>#REF!</v>
      </c>
    </row>
    <row r="130" spans="10:10">
      <c r="J130" s="858" t="e" vm="1">
        <f>[1]!Table1[[#This Row],[Supplier]]</f>
        <v>#REF!</v>
      </c>
    </row>
    <row r="131" spans="10:10">
      <c r="J131" s="858" t="e" vm="1">
        <f>[1]!Table1[[#This Row],[Supplier]]</f>
        <v>#REF!</v>
      </c>
    </row>
    <row r="132" spans="10:10">
      <c r="J132" s="858" t="e" vm="1">
        <f>[1]!Table1[[#This Row],[Supplier]]</f>
        <v>#REF!</v>
      </c>
    </row>
    <row r="133" spans="10:10">
      <c r="J133" s="858" t="e" vm="1">
        <f>[1]!Table1[[#This Row],[Supplier]]</f>
        <v>#REF!</v>
      </c>
    </row>
    <row r="134" spans="10:10">
      <c r="J134" s="858" t="e" vm="1">
        <f>[1]!Table1[[#This Row],[Supplier]]</f>
        <v>#REF!</v>
      </c>
    </row>
    <row r="135" spans="10:10">
      <c r="J135" s="858" t="e" vm="1">
        <f>[1]!Table1[[#This Row],[Supplier]]</f>
        <v>#REF!</v>
      </c>
    </row>
    <row r="136" spans="10:10">
      <c r="J136" s="858" t="e" vm="1">
        <f>[1]!Table1[[#This Row],[Supplier]]</f>
        <v>#REF!</v>
      </c>
    </row>
    <row r="137" spans="10:10">
      <c r="J137" s="858" t="e" vm="1">
        <f>[1]!Table1[[#This Row],[Supplier]]</f>
        <v>#REF!</v>
      </c>
    </row>
    <row r="138" spans="10:10">
      <c r="J138" s="858" t="e" vm="1">
        <f>[1]!Table1[[#This Row],[Supplier]]</f>
        <v>#REF!</v>
      </c>
    </row>
    <row r="139" spans="10:10">
      <c r="J139" s="858" t="e" vm="1">
        <f>[1]!Table1[[#This Row],[Supplier]]</f>
        <v>#REF!</v>
      </c>
    </row>
    <row r="140" spans="10:10">
      <c r="J140" s="858" t="e" vm="1">
        <f>[1]!Table1[[#This Row],[Supplier]]</f>
        <v>#REF!</v>
      </c>
    </row>
    <row r="141" spans="10:10">
      <c r="J141" s="858" t="e" vm="1">
        <f>[1]!Table1[[#This Row],[Supplier]]</f>
        <v>#REF!</v>
      </c>
    </row>
    <row r="142" spans="10:10">
      <c r="J142" s="858" t="e" vm="1">
        <f>[1]!Table1[[#This Row],[Supplier]]</f>
        <v>#REF!</v>
      </c>
    </row>
    <row r="143" spans="10:10">
      <c r="J143" s="858" t="e" vm="1">
        <f>[1]!Table1[[#This Row],[Supplier]]</f>
        <v>#REF!</v>
      </c>
    </row>
    <row r="144" spans="10:10">
      <c r="J144" s="858" t="e" vm="1">
        <f>[1]!Table1[[#This Row],[Supplier]]</f>
        <v>#REF!</v>
      </c>
    </row>
    <row r="145" spans="10:10">
      <c r="J145" s="858" t="e" vm="1">
        <f>[1]!Table1[[#This Row],[Supplier]]</f>
        <v>#REF!</v>
      </c>
    </row>
    <row r="146" spans="10:10">
      <c r="J146" s="858" t="e" vm="1">
        <f>[1]!Table1[[#This Row],[Supplier]]</f>
        <v>#REF!</v>
      </c>
    </row>
    <row r="147" spans="10:10">
      <c r="J147" s="858" t="e" vm="1">
        <f>[1]!Table1[[#This Row],[Supplier]]</f>
        <v>#REF!</v>
      </c>
    </row>
    <row r="148" spans="10:10">
      <c r="J148" s="858" t="e" vm="1">
        <f>[1]!Table1[[#This Row],[Supplier]]</f>
        <v>#REF!</v>
      </c>
    </row>
    <row r="149" spans="10:10">
      <c r="J149" s="858" t="e" vm="1">
        <f>[1]!Table1[[#This Row],[Supplier]]</f>
        <v>#REF!</v>
      </c>
    </row>
    <row r="150" spans="10:10">
      <c r="J150" s="858" t="e" vm="1">
        <f>[1]!Table1[[#This Row],[Supplier]]</f>
        <v>#REF!</v>
      </c>
    </row>
    <row r="151" spans="10:10">
      <c r="J151" s="858" t="e" vm="1">
        <f>[1]!Table1[[#This Row],[Supplier]]</f>
        <v>#REF!</v>
      </c>
    </row>
    <row r="152" spans="10:10">
      <c r="J152" s="858" t="e" vm="1">
        <f>[1]!Table1[[#This Row],[Supplier]]</f>
        <v>#REF!</v>
      </c>
    </row>
    <row r="153" spans="10:10">
      <c r="J153" s="858" t="e" vm="1">
        <f>[1]!Table1[[#This Row],[Supplier]]</f>
        <v>#REF!</v>
      </c>
    </row>
    <row r="154" spans="10:10">
      <c r="J154" s="858" t="e" vm="1">
        <f>[1]!Table1[[#This Row],[Supplier]]</f>
        <v>#REF!</v>
      </c>
    </row>
    <row r="155" spans="10:10">
      <c r="J155" s="858" t="e" vm="1">
        <f>[1]!Table1[[#This Row],[Supplier]]</f>
        <v>#REF!</v>
      </c>
    </row>
    <row r="156" spans="10:10">
      <c r="J156" s="858" t="e" vm="1">
        <f>[1]!Table1[[#This Row],[Supplier]]</f>
        <v>#REF!</v>
      </c>
    </row>
    <row r="157" spans="10:10">
      <c r="J157" s="858" t="e" vm="1">
        <f>[1]!Table1[[#This Row],[Supplier]]</f>
        <v>#REF!</v>
      </c>
    </row>
    <row r="158" spans="10:10">
      <c r="J158" s="858" t="e" vm="1">
        <f>[1]!Table1[[#This Row],[Supplier]]</f>
        <v>#REF!</v>
      </c>
    </row>
    <row r="159" spans="10:10">
      <c r="J159" s="858" t="e" vm="1">
        <f>[1]!Table1[[#This Row],[Supplier]]</f>
        <v>#REF!</v>
      </c>
    </row>
    <row r="160" spans="10:10">
      <c r="J160" s="858" t="e" vm="1">
        <f>[1]!Table1[[#This Row],[Supplier]]</f>
        <v>#REF!</v>
      </c>
    </row>
    <row r="161" spans="10:10">
      <c r="J161" s="858" t="e" vm="1">
        <f>[1]!Table1[[#This Row],[Supplier]]</f>
        <v>#REF!</v>
      </c>
    </row>
    <row r="162" spans="10:10">
      <c r="J162" s="858" t="e" vm="1">
        <f>[1]!Table1[[#This Row],[Supplier]]</f>
        <v>#REF!</v>
      </c>
    </row>
    <row r="163" spans="10:10">
      <c r="J163" s="858" t="e" vm="1">
        <f>[1]!Table1[[#This Row],[Supplier]]</f>
        <v>#REF!</v>
      </c>
    </row>
    <row r="164" spans="10:10">
      <c r="J164" s="858" t="e" vm="1">
        <f>[1]!Table1[[#This Row],[Supplier]]</f>
        <v>#REF!</v>
      </c>
    </row>
    <row r="165" spans="10:10">
      <c r="J165" s="858" t="e" vm="1">
        <f>[1]!Table1[[#This Row],[Supplier]]</f>
        <v>#REF!</v>
      </c>
    </row>
    <row r="166" spans="10:10">
      <c r="J166" s="858" t="e" vm="1">
        <f>[1]!Table1[[#This Row],[Supplier]]</f>
        <v>#REF!</v>
      </c>
    </row>
    <row r="167" spans="10:10">
      <c r="J167" s="858" t="e" vm="1">
        <f>[1]!Table1[[#This Row],[Supplier]]</f>
        <v>#REF!</v>
      </c>
    </row>
    <row r="168" spans="10:10">
      <c r="J168" s="858" t="e" vm="1">
        <f>[1]!Table1[[#This Row],[Supplier]]</f>
        <v>#REF!</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85" zoomScaleNormal="85" workbookViewId="0">
      <selection activeCell="H4" sqref="H4"/>
    </sheetView>
  </sheetViews>
  <sheetFormatPr defaultColWidth="8.453125" defaultRowHeight="14.5"/>
  <cols>
    <col min="1" max="1" width="5.54296875" style="92" customWidth="1"/>
    <col min="2" max="2" width="7.453125" style="130" customWidth="1"/>
    <col min="3" max="3" width="23.453125" style="128" customWidth="1"/>
    <col min="4" max="4" width="21.36328125" style="128" customWidth="1"/>
    <col min="5" max="5" width="6.453125" style="128" customWidth="1"/>
    <col min="6" max="6" width="17.453125" style="128" bestFit="1" customWidth="1"/>
    <col min="7" max="7" width="4.453125" style="128" customWidth="1"/>
    <col min="8" max="8" width="15.453125" style="128" customWidth="1"/>
    <col min="9" max="9" width="9.63281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891</v>
      </c>
      <c r="C2" s="127"/>
      <c r="D2" s="127"/>
      <c r="E2" s="127"/>
      <c r="F2" s="127"/>
      <c r="G2" s="127"/>
      <c r="H2" s="127"/>
      <c r="J2" s="141"/>
      <c r="R2" s="127"/>
      <c r="S2" s="141"/>
    </row>
    <row r="3" spans="1:21" s="92" customFormat="1" ht="13">
      <c r="B3" s="116"/>
      <c r="D3" s="124" t="s">
        <v>892</v>
      </c>
      <c r="F3" s="124" t="s">
        <v>893</v>
      </c>
      <c r="J3" s="141"/>
      <c r="L3" s="402" t="s">
        <v>894</v>
      </c>
      <c r="N3" s="402" t="s">
        <v>895</v>
      </c>
      <c r="S3" s="141"/>
    </row>
    <row r="4" spans="1:21" s="92" customFormat="1" ht="13">
      <c r="B4" s="342">
        <v>1</v>
      </c>
      <c r="C4" s="343" t="s">
        <v>896</v>
      </c>
      <c r="D4" s="344">
        <f>'Project Plan'!J8</f>
        <v>144482290.75276899</v>
      </c>
      <c r="E4" s="345"/>
      <c r="F4" s="810">
        <v>151630611.96758789</v>
      </c>
      <c r="H4" s="115"/>
      <c r="J4" s="141"/>
      <c r="L4" s="367"/>
      <c r="N4" s="367" t="s">
        <v>530</v>
      </c>
      <c r="Q4" s="129"/>
      <c r="S4" s="141"/>
    </row>
    <row r="5" spans="1:21" s="92" customFormat="1" ht="15" customHeight="1">
      <c r="B5" s="342">
        <v>2</v>
      </c>
      <c r="C5" s="343" t="s">
        <v>897</v>
      </c>
      <c r="D5" s="344">
        <f>+'Expenditure Tracking'!F5</f>
        <v>136620512.96264103</v>
      </c>
      <c r="E5" s="345"/>
      <c r="F5" s="344">
        <f>+'Expenditure Tracking'!J5</f>
        <v>144827424.51297796</v>
      </c>
      <c r="H5" s="115"/>
      <c r="J5" s="141"/>
      <c r="L5" s="367"/>
      <c r="N5" s="403"/>
      <c r="S5" s="141"/>
    </row>
    <row r="6" spans="1:21" s="92" customFormat="1" ht="15" customHeight="1">
      <c r="B6" s="342">
        <v>3</v>
      </c>
      <c r="C6" s="343" t="s">
        <v>898</v>
      </c>
      <c r="D6" s="344">
        <f>+D4-D5</f>
        <v>7861777.7901279628</v>
      </c>
      <c r="E6" s="345"/>
      <c r="F6" s="344">
        <f>+F4-F5</f>
        <v>6803187.4546099305</v>
      </c>
      <c r="H6" s="115"/>
      <c r="J6" s="141"/>
      <c r="L6" s="367"/>
      <c r="N6" s="367" t="s">
        <v>899</v>
      </c>
      <c r="S6" s="141"/>
    </row>
    <row r="7" spans="1:21" s="92" customFormat="1" ht="15" customHeight="1" thickBot="1">
      <c r="B7" s="342">
        <v>4</v>
      </c>
      <c r="C7" s="343" t="s">
        <v>900</v>
      </c>
      <c r="D7" s="346">
        <f>+D6/D4</f>
        <v>5.4413435370987098E-2</v>
      </c>
      <c r="E7" s="345"/>
      <c r="F7" s="346">
        <f>+F6/F4</f>
        <v>4.486684691389467E-2</v>
      </c>
      <c r="H7" s="752"/>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901</v>
      </c>
      <c r="J10" s="141"/>
      <c r="S10" s="141"/>
      <c r="U10" s="127"/>
    </row>
    <row r="11" spans="1:21" s="92" customFormat="1" ht="14.25" customHeight="1">
      <c r="B11" s="116"/>
      <c r="J11" s="141"/>
      <c r="S11" s="141"/>
    </row>
    <row r="12" spans="1:21" s="92" customFormat="1" ht="26">
      <c r="B12" s="131" t="s">
        <v>503</v>
      </c>
      <c r="C12" s="132" t="s">
        <v>902</v>
      </c>
      <c r="D12" s="133"/>
      <c r="E12" s="131" t="s">
        <v>903</v>
      </c>
      <c r="F12" s="131" t="s">
        <v>904</v>
      </c>
      <c r="H12" s="347" t="s">
        <v>905</v>
      </c>
      <c r="J12" s="141"/>
      <c r="L12" s="157" t="s">
        <v>906</v>
      </c>
      <c r="M12" s="134"/>
      <c r="N12" s="157" t="s">
        <v>907</v>
      </c>
      <c r="O12" s="128"/>
      <c r="P12" s="157" t="s">
        <v>908</v>
      </c>
      <c r="R12" s="370" t="s">
        <v>909</v>
      </c>
      <c r="S12" s="141"/>
    </row>
    <row r="13" spans="1:21" s="92" customFormat="1" ht="13">
      <c r="B13" s="342">
        <v>1</v>
      </c>
      <c r="C13" s="1007" t="s">
        <v>910</v>
      </c>
      <c r="D13" s="1008"/>
      <c r="E13" s="135">
        <f>F13/$D$4</f>
        <v>3.806694904506553E-2</v>
      </c>
      <c r="F13" s="136">
        <v>5500000</v>
      </c>
      <c r="G13" s="137"/>
      <c r="H13" s="139">
        <v>46081</v>
      </c>
      <c r="I13" s="664">
        <f>H13 - 60</f>
        <v>46021</v>
      </c>
      <c r="J13" s="141"/>
      <c r="L13" s="359"/>
      <c r="M13" s="358"/>
      <c r="N13" s="138"/>
      <c r="O13" s="128"/>
      <c r="P13" s="139">
        <v>46142</v>
      </c>
      <c r="R13" s="166"/>
      <c r="S13" s="141"/>
    </row>
    <row r="14" spans="1:21" s="92" customFormat="1" ht="12.5">
      <c r="B14" s="154">
        <v>2</v>
      </c>
      <c r="C14" s="1007" t="s">
        <v>911</v>
      </c>
      <c r="D14" s="1008"/>
      <c r="E14" s="135">
        <f t="shared" ref="E14:E16" si="0">F14/$D$4</f>
        <v>0.27685053850956748</v>
      </c>
      <c r="F14" s="136">
        <v>40000000</v>
      </c>
      <c r="G14" s="345"/>
      <c r="H14" s="139">
        <v>46081</v>
      </c>
      <c r="I14" s="664">
        <f t="shared" ref="I14:I27" si="1">H14 - 60</f>
        <v>46021</v>
      </c>
      <c r="J14" s="141"/>
      <c r="L14" s="359"/>
      <c r="N14" s="138"/>
      <c r="O14" s="128"/>
      <c r="P14" s="139">
        <v>46142</v>
      </c>
      <c r="R14" s="371"/>
      <c r="S14" s="141"/>
    </row>
    <row r="15" spans="1:21" s="92" customFormat="1" ht="12.5">
      <c r="B15" s="342">
        <v>3</v>
      </c>
      <c r="C15" s="1007" t="s">
        <v>912</v>
      </c>
      <c r="D15" s="1008"/>
      <c r="E15" s="135">
        <f t="shared" si="0"/>
        <v>2.7685053850956751E-2</v>
      </c>
      <c r="F15" s="136">
        <v>4000000</v>
      </c>
      <c r="G15" s="345"/>
      <c r="H15" s="139">
        <f>H14+28</f>
        <v>46109</v>
      </c>
      <c r="I15" s="664">
        <f t="shared" si="1"/>
        <v>46049</v>
      </c>
      <c r="J15" s="141"/>
      <c r="L15" s="359"/>
      <c r="N15" s="138"/>
      <c r="O15" s="128"/>
      <c r="P15" s="139">
        <f>P14+28</f>
        <v>46170</v>
      </c>
      <c r="R15" s="371"/>
      <c r="S15" s="141"/>
    </row>
    <row r="16" spans="1:21" s="92" customFormat="1" ht="12.5">
      <c r="B16" s="154">
        <v>4</v>
      </c>
      <c r="C16" s="1007" t="s">
        <v>912</v>
      </c>
      <c r="D16" s="1008"/>
      <c r="E16" s="135">
        <f t="shared" si="0"/>
        <v>0.10381895194108781</v>
      </c>
      <c r="F16" s="136">
        <v>15000000</v>
      </c>
      <c r="G16" s="345"/>
      <c r="H16" s="139">
        <f>H15+28</f>
        <v>46137</v>
      </c>
      <c r="I16" s="664">
        <f t="shared" si="1"/>
        <v>46077</v>
      </c>
      <c r="J16" s="141"/>
      <c r="L16" s="359"/>
      <c r="N16" s="138"/>
      <c r="O16" s="128"/>
      <c r="P16" s="139">
        <f>P15+14</f>
        <v>46184</v>
      </c>
      <c r="R16" s="371"/>
      <c r="S16" s="141"/>
    </row>
    <row r="17" spans="2:19" s="92" customFormat="1" ht="12.5">
      <c r="B17" s="342">
        <v>5</v>
      </c>
      <c r="C17" s="1007" t="s">
        <v>913</v>
      </c>
      <c r="D17" s="1008"/>
      <c r="E17" s="135">
        <f>F17/$D$4</f>
        <v>9.6205562132074707E-2</v>
      </c>
      <c r="F17" s="136">
        <v>13900000</v>
      </c>
      <c r="G17" s="345"/>
      <c r="H17" s="139">
        <f>H16+14</f>
        <v>46151</v>
      </c>
      <c r="I17" s="664">
        <f t="shared" si="1"/>
        <v>46091</v>
      </c>
      <c r="J17" s="141"/>
      <c r="L17" s="359"/>
      <c r="N17" s="138"/>
      <c r="O17" s="128"/>
      <c r="P17" s="139">
        <f>P16+14</f>
        <v>46198</v>
      </c>
      <c r="R17" s="371"/>
      <c r="S17" s="141"/>
    </row>
    <row r="18" spans="2:19" s="92" customFormat="1" ht="12.5">
      <c r="B18" s="154">
        <v>6</v>
      </c>
      <c r="C18" s="1007" t="s">
        <v>914</v>
      </c>
      <c r="D18" s="1008"/>
      <c r="E18" s="135">
        <f t="shared" ref="E18:E26" si="2">F18/$D$4</f>
        <v>0.110740215403827</v>
      </c>
      <c r="F18" s="136">
        <v>16000000</v>
      </c>
      <c r="G18" s="345"/>
      <c r="H18" s="139">
        <f>H17+21</f>
        <v>46172</v>
      </c>
      <c r="I18" s="664">
        <f t="shared" si="1"/>
        <v>46112</v>
      </c>
      <c r="J18" s="141"/>
      <c r="L18" s="359"/>
      <c r="N18" s="138"/>
      <c r="O18" s="128"/>
      <c r="P18" s="139">
        <f>P17+7</f>
        <v>46205</v>
      </c>
      <c r="R18" s="371"/>
      <c r="S18" s="141"/>
    </row>
    <row r="19" spans="2:19" s="92" customFormat="1" ht="12.5">
      <c r="B19" s="342">
        <v>7</v>
      </c>
      <c r="C19" s="1007" t="s">
        <v>914</v>
      </c>
      <c r="D19" s="1008"/>
      <c r="E19" s="135">
        <f t="shared" si="2"/>
        <v>0</v>
      </c>
      <c r="F19" s="136"/>
      <c r="G19" s="345"/>
      <c r="H19" s="139">
        <f>H18+21</f>
        <v>46193</v>
      </c>
      <c r="I19" s="664">
        <f t="shared" si="1"/>
        <v>46133</v>
      </c>
      <c r="J19" s="141"/>
      <c r="L19" s="359"/>
      <c r="N19" s="138"/>
      <c r="O19" s="128"/>
      <c r="P19" s="139">
        <f>P18+7</f>
        <v>46212</v>
      </c>
      <c r="R19" s="371"/>
      <c r="S19" s="141"/>
    </row>
    <row r="20" spans="2:19" s="92" customFormat="1" ht="12.5">
      <c r="B20" s="154">
        <v>8</v>
      </c>
      <c r="C20" s="1007" t="s">
        <v>914</v>
      </c>
      <c r="D20" s="1008"/>
      <c r="E20" s="135">
        <f t="shared" si="2"/>
        <v>0</v>
      </c>
      <c r="F20" s="136"/>
      <c r="G20" s="345"/>
      <c r="H20" s="139">
        <f>H19+14</f>
        <v>46207</v>
      </c>
      <c r="I20" s="664">
        <f t="shared" si="1"/>
        <v>46147</v>
      </c>
      <c r="J20" s="141"/>
      <c r="L20" s="359"/>
      <c r="N20" s="138"/>
      <c r="O20" s="128"/>
      <c r="P20" s="139">
        <f>P19+7</f>
        <v>46219</v>
      </c>
      <c r="R20" s="371"/>
      <c r="S20" s="141"/>
    </row>
    <row r="21" spans="2:19" s="92" customFormat="1" ht="12.5">
      <c r="B21" s="342">
        <v>9</v>
      </c>
      <c r="C21" s="1007" t="s">
        <v>915</v>
      </c>
      <c r="D21" s="1008"/>
      <c r="E21" s="135">
        <f t="shared" si="2"/>
        <v>6.2291371164652685E-2</v>
      </c>
      <c r="F21" s="136">
        <v>9000000</v>
      </c>
      <c r="G21" s="345"/>
      <c r="H21" s="139">
        <f>H20+14</f>
        <v>46221</v>
      </c>
      <c r="I21" s="664">
        <f t="shared" si="1"/>
        <v>46161</v>
      </c>
      <c r="J21" s="141"/>
      <c r="L21" s="359"/>
      <c r="N21" s="138"/>
      <c r="O21" s="128"/>
      <c r="P21" s="139">
        <f>P20+14</f>
        <v>46233</v>
      </c>
      <c r="R21" s="371"/>
      <c r="S21" s="141"/>
    </row>
    <row r="22" spans="2:19" s="92" customFormat="1" ht="12.5">
      <c r="B22" s="154">
        <v>10</v>
      </c>
      <c r="C22" s="1007" t="s">
        <v>916</v>
      </c>
      <c r="D22" s="1008"/>
      <c r="E22" s="135">
        <f t="shared" si="2"/>
        <v>4.844884423917431E-2</v>
      </c>
      <c r="F22" s="136">
        <v>7000000</v>
      </c>
      <c r="G22" s="345"/>
      <c r="H22" s="139">
        <f t="shared" ref="H22:H26" si="3">H21+14</f>
        <v>46235</v>
      </c>
      <c r="I22" s="664">
        <f t="shared" si="1"/>
        <v>46175</v>
      </c>
      <c r="J22" s="141"/>
      <c r="L22" s="359"/>
      <c r="N22" s="138"/>
      <c r="O22" s="128"/>
      <c r="P22" s="139">
        <f t="shared" ref="P22:P26" si="4">P21+14</f>
        <v>46247</v>
      </c>
      <c r="R22" s="371"/>
      <c r="S22" s="141"/>
    </row>
    <row r="23" spans="2:19" s="92" customFormat="1" ht="12.5">
      <c r="B23" s="342">
        <v>11</v>
      </c>
      <c r="C23" s="1007" t="s">
        <v>917</v>
      </c>
      <c r="D23" s="1008"/>
      <c r="E23" s="135">
        <f t="shared" si="2"/>
        <v>5.1909475970543906E-2</v>
      </c>
      <c r="F23" s="136">
        <v>7500000</v>
      </c>
      <c r="G23" s="345"/>
      <c r="H23" s="139">
        <f t="shared" si="3"/>
        <v>46249</v>
      </c>
      <c r="I23" s="664">
        <f t="shared" si="1"/>
        <v>46189</v>
      </c>
      <c r="J23" s="141"/>
      <c r="L23" s="359"/>
      <c r="N23" s="138"/>
      <c r="O23" s="128"/>
      <c r="P23" s="139">
        <f t="shared" si="4"/>
        <v>46261</v>
      </c>
      <c r="R23" s="371"/>
      <c r="S23" s="141"/>
    </row>
    <row r="24" spans="2:19" s="92" customFormat="1" ht="12.5">
      <c r="B24" s="154">
        <v>12</v>
      </c>
      <c r="C24" s="1007" t="s">
        <v>917</v>
      </c>
      <c r="D24" s="1008"/>
      <c r="E24" s="135">
        <f t="shared" si="2"/>
        <v>3.806694904506553E-2</v>
      </c>
      <c r="F24" s="136">
        <v>5500000</v>
      </c>
      <c r="G24" s="345"/>
      <c r="H24" s="139">
        <f t="shared" si="3"/>
        <v>46263</v>
      </c>
      <c r="I24" s="664">
        <f t="shared" si="1"/>
        <v>46203</v>
      </c>
      <c r="J24" s="141"/>
      <c r="L24" s="359"/>
      <c r="N24" s="138"/>
      <c r="O24" s="128"/>
      <c r="P24" s="139">
        <f t="shared" si="4"/>
        <v>46275</v>
      </c>
      <c r="R24" s="371"/>
      <c r="S24" s="141"/>
    </row>
    <row r="25" spans="2:19" s="92" customFormat="1" ht="12.5">
      <c r="B25" s="342">
        <v>13</v>
      </c>
      <c r="C25" s="1007" t="s">
        <v>918</v>
      </c>
      <c r="D25" s="1008"/>
      <c r="E25" s="135">
        <f t="shared" si="2"/>
        <v>7.9594529821500656E-2</v>
      </c>
      <c r="F25" s="136">
        <v>11500000</v>
      </c>
      <c r="G25" s="345"/>
      <c r="H25" s="139">
        <f t="shared" si="3"/>
        <v>46277</v>
      </c>
      <c r="I25" s="664">
        <f t="shared" si="1"/>
        <v>46217</v>
      </c>
      <c r="J25" s="141"/>
      <c r="L25" s="359"/>
      <c r="N25" s="138"/>
      <c r="O25" s="128"/>
      <c r="P25" s="139">
        <f t="shared" si="4"/>
        <v>46289</v>
      </c>
      <c r="R25" s="371"/>
      <c r="S25" s="141"/>
    </row>
    <row r="26" spans="2:19" s="92" customFormat="1" ht="12.5">
      <c r="B26" s="154">
        <v>14</v>
      </c>
      <c r="C26" s="1007" t="s">
        <v>919</v>
      </c>
      <c r="D26" s="1008"/>
      <c r="E26" s="135">
        <f t="shared" si="2"/>
        <v>1.0381895194108781E-2</v>
      </c>
      <c r="F26" s="136">
        <v>1500000</v>
      </c>
      <c r="G26" s="345"/>
      <c r="H26" s="139">
        <f t="shared" si="3"/>
        <v>46291</v>
      </c>
      <c r="I26" s="664">
        <f t="shared" si="1"/>
        <v>46231</v>
      </c>
      <c r="J26" s="141"/>
      <c r="L26" s="359"/>
      <c r="N26" s="138"/>
      <c r="O26" s="128"/>
      <c r="P26" s="139">
        <f t="shared" si="4"/>
        <v>46303</v>
      </c>
      <c r="R26" s="371"/>
      <c r="S26" s="141"/>
    </row>
    <row r="27" spans="2:19" s="92" customFormat="1" ht="12.5">
      <c r="B27" s="342">
        <v>15</v>
      </c>
      <c r="C27" s="1007" t="s">
        <v>54</v>
      </c>
      <c r="D27" s="1008"/>
      <c r="E27" s="135">
        <f>100%-SUM(E13:E26)</f>
        <v>5.5939663682374796E-2</v>
      </c>
      <c r="F27" s="136">
        <f>E27*D4</f>
        <v>8082290.7527689878</v>
      </c>
      <c r="G27" s="345"/>
      <c r="H27" s="139">
        <f>H26+365</f>
        <v>46656</v>
      </c>
      <c r="I27" s="664">
        <f t="shared" si="1"/>
        <v>46596</v>
      </c>
      <c r="J27" s="141"/>
      <c r="L27" s="359"/>
      <c r="N27" s="138"/>
      <c r="O27" s="128"/>
      <c r="P27" s="139">
        <f>P26+365</f>
        <v>46668</v>
      </c>
      <c r="R27" s="371"/>
      <c r="S27" s="141"/>
    </row>
    <row r="28" spans="2:19" s="92" customFormat="1" ht="12.5">
      <c r="B28" s="154">
        <v>16</v>
      </c>
      <c r="C28" s="1009" t="s">
        <v>920</v>
      </c>
      <c r="D28" s="1010"/>
      <c r="E28" s="811"/>
      <c r="F28" s="812">
        <f>F5*0.05</f>
        <v>7241371.2256488986</v>
      </c>
      <c r="G28" s="345"/>
      <c r="H28" s="138"/>
      <c r="J28" s="141"/>
      <c r="L28" s="359"/>
      <c r="N28" s="138"/>
      <c r="O28" s="128"/>
      <c r="P28" s="139"/>
      <c r="R28" s="371"/>
      <c r="S28" s="141"/>
    </row>
    <row r="29" spans="2:19" s="92" customFormat="1" ht="12.5">
      <c r="B29" s="342">
        <v>17</v>
      </c>
      <c r="C29" s="1007"/>
      <c r="D29" s="1008"/>
      <c r="E29" s="135"/>
      <c r="F29" s="136"/>
      <c r="G29" s="345"/>
      <c r="H29" s="138"/>
      <c r="J29" s="141"/>
      <c r="L29" s="359"/>
      <c r="N29" s="138"/>
      <c r="O29" s="128"/>
      <c r="P29" s="139"/>
      <c r="R29" s="371"/>
      <c r="S29" s="141"/>
    </row>
    <row r="30" spans="2:19" s="92" customFormat="1" ht="12.5">
      <c r="B30" s="154">
        <v>18</v>
      </c>
      <c r="C30" s="1007"/>
      <c r="D30" s="1008"/>
      <c r="E30" s="135"/>
      <c r="F30" s="136"/>
      <c r="G30" s="345"/>
      <c r="H30" s="138"/>
      <c r="J30" s="141"/>
      <c r="L30" s="359"/>
      <c r="N30" s="138"/>
      <c r="O30" s="128"/>
      <c r="P30" s="139"/>
      <c r="R30" s="371"/>
      <c r="S30" s="141"/>
    </row>
    <row r="31" spans="2:19" s="92" customFormat="1" ht="12.5">
      <c r="B31" s="342">
        <v>19</v>
      </c>
      <c r="C31" s="1007"/>
      <c r="D31" s="1008"/>
      <c r="E31" s="135"/>
      <c r="F31" s="136"/>
      <c r="G31" s="345"/>
      <c r="H31" s="138"/>
      <c r="J31" s="141"/>
      <c r="L31" s="359"/>
      <c r="N31" s="138"/>
      <c r="O31" s="128"/>
      <c r="P31" s="139"/>
      <c r="R31" s="371"/>
      <c r="S31" s="141"/>
    </row>
    <row r="32" spans="2:19" s="92" customFormat="1" ht="12.5">
      <c r="B32" s="154">
        <v>20</v>
      </c>
      <c r="C32" s="1007"/>
      <c r="D32" s="1008"/>
      <c r="E32" s="135"/>
      <c r="F32" s="136"/>
      <c r="G32" s="345"/>
      <c r="H32" s="138"/>
      <c r="J32" s="141"/>
      <c r="L32" s="359"/>
      <c r="N32" s="138"/>
      <c r="O32" s="128"/>
      <c r="P32" s="139"/>
      <c r="R32" s="371"/>
      <c r="S32" s="141"/>
    </row>
    <row r="33" spans="2:19" s="92" customFormat="1" ht="12.5">
      <c r="B33" s="342">
        <v>21</v>
      </c>
      <c r="C33" s="1007"/>
      <c r="D33" s="1008"/>
      <c r="E33" s="135"/>
      <c r="F33" s="136"/>
      <c r="G33" s="345"/>
      <c r="H33" s="138"/>
      <c r="J33" s="141"/>
      <c r="L33" s="359"/>
      <c r="N33" s="138"/>
      <c r="O33" s="128"/>
      <c r="P33" s="139"/>
      <c r="R33" s="371"/>
      <c r="S33" s="141"/>
    </row>
    <row r="34" spans="2:19" s="92" customFormat="1" ht="12.5">
      <c r="B34" s="154">
        <v>22</v>
      </c>
      <c r="C34" s="1007"/>
      <c r="D34" s="1008"/>
      <c r="E34" s="135"/>
      <c r="F34" s="136"/>
      <c r="G34" s="345"/>
      <c r="H34" s="138"/>
      <c r="J34" s="141"/>
      <c r="L34" s="139"/>
      <c r="M34" s="128"/>
      <c r="N34" s="139"/>
      <c r="O34" s="128"/>
      <c r="P34" s="139"/>
      <c r="R34" s="371"/>
      <c r="S34" s="141"/>
    </row>
    <row r="35" spans="2:19" s="92" customFormat="1" ht="12.5">
      <c r="B35" s="342">
        <v>23</v>
      </c>
      <c r="C35" s="1011"/>
      <c r="D35" s="1012"/>
      <c r="E35" s="135"/>
      <c r="F35" s="136"/>
      <c r="G35" s="345"/>
      <c r="H35" s="138"/>
      <c r="J35" s="141"/>
      <c r="L35" s="139"/>
      <c r="N35" s="139"/>
      <c r="O35" s="128"/>
      <c r="P35" s="139"/>
      <c r="R35" s="371"/>
      <c r="S35" s="141"/>
    </row>
    <row r="36" spans="2:19" s="92" customFormat="1" ht="12.5">
      <c r="B36" s="154">
        <v>24</v>
      </c>
      <c r="C36" s="1007"/>
      <c r="D36" s="1008"/>
      <c r="E36" s="135"/>
      <c r="F36" s="136"/>
      <c r="G36" s="345"/>
      <c r="H36" s="138"/>
      <c r="J36" s="141"/>
      <c r="L36" s="139"/>
      <c r="M36" s="137"/>
      <c r="N36" s="139"/>
      <c r="O36" s="128"/>
      <c r="P36" s="139"/>
      <c r="R36" s="371"/>
      <c r="S36" s="141"/>
    </row>
    <row r="37" spans="2:19" s="92" customFormat="1" ht="12.5">
      <c r="B37" s="342">
        <v>25</v>
      </c>
      <c r="C37" s="1007"/>
      <c r="D37" s="1008"/>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151723661.9784179</v>
      </c>
      <c r="J39" s="141"/>
      <c r="S39" s="141"/>
    </row>
    <row r="40" spans="2:19" s="141" customFormat="1" ht="25.5" customHeight="1">
      <c r="B40" s="142"/>
      <c r="F40" s="143"/>
    </row>
    <row r="41" spans="2:19" s="92" customFormat="1" ht="24.75" customHeight="1">
      <c r="B41" s="144" t="s">
        <v>921</v>
      </c>
      <c r="C41" s="145" t="s">
        <v>922</v>
      </c>
      <c r="D41" s="145"/>
      <c r="F41" s="146"/>
    </row>
    <row r="42" spans="2:19" s="92" customFormat="1" ht="12.5">
      <c r="C42" s="147" t="s">
        <v>923</v>
      </c>
      <c r="D42" s="148"/>
      <c r="F42" s="149"/>
    </row>
    <row r="43" spans="2:19" s="92" customFormat="1" ht="12.5">
      <c r="C43" s="147" t="s">
        <v>924</v>
      </c>
      <c r="D43" s="148"/>
    </row>
    <row r="44" spans="2:19" s="92" customFormat="1" ht="12.5">
      <c r="C44" s="150" t="s">
        <v>925</v>
      </c>
      <c r="D44" s="151"/>
    </row>
    <row r="45" spans="2:19" s="92" customFormat="1" ht="12.5">
      <c r="C45" s="152" t="s">
        <v>926</v>
      </c>
      <c r="D45" s="148"/>
    </row>
    <row r="46" spans="2:19" s="92" customFormat="1" ht="12.5">
      <c r="B46" s="116"/>
      <c r="C46" s="152" t="s">
        <v>927</v>
      </c>
      <c r="D46" s="148"/>
    </row>
    <row r="47" spans="2:19" s="92" customFormat="1" ht="12.5">
      <c r="B47" s="116"/>
      <c r="C47" s="92" t="s">
        <v>928</v>
      </c>
    </row>
    <row r="48" spans="2:19" s="92" customFormat="1" ht="27.75" customHeight="1">
      <c r="B48" s="116"/>
      <c r="C48" s="153" t="s">
        <v>929</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41"/>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1007" t="s">
        <v>913</v>
      </c>
      <c r="D68" s="1008"/>
      <c r="E68" s="135">
        <f t="shared" ref="E68:E77" si="5">F68/$D$4</f>
        <v>2.0071664041943642E-2</v>
      </c>
      <c r="F68" s="136">
        <v>2900000</v>
      </c>
      <c r="G68" s="345"/>
      <c r="H68" s="138">
        <v>45838</v>
      </c>
    </row>
    <row r="69" spans="2:8" s="92" customFormat="1" ht="12.5">
      <c r="C69" s="1007" t="s">
        <v>914</v>
      </c>
      <c r="D69" s="1008"/>
      <c r="E69" s="135">
        <f t="shared" si="5"/>
        <v>4.1527580776435126E-2</v>
      </c>
      <c r="F69" s="136">
        <v>6000000</v>
      </c>
      <c r="G69" s="345"/>
      <c r="H69" s="138">
        <v>45852</v>
      </c>
    </row>
    <row r="70" spans="2:8" s="92" customFormat="1" ht="12.5">
      <c r="C70" s="1007" t="s">
        <v>914</v>
      </c>
      <c r="D70" s="1008"/>
      <c r="E70" s="135">
        <f t="shared" si="5"/>
        <v>0.12458274232930537</v>
      </c>
      <c r="F70" s="136">
        <v>18000000</v>
      </c>
      <c r="G70" s="345"/>
      <c r="H70" s="138">
        <v>45866</v>
      </c>
    </row>
    <row r="71" spans="2:8" s="92" customFormat="1" ht="12.5">
      <c r="C71" s="1007" t="s">
        <v>914</v>
      </c>
      <c r="D71" s="1008"/>
      <c r="E71" s="135">
        <f t="shared" si="5"/>
        <v>6.2291371164652685E-2</v>
      </c>
      <c r="F71" s="136">
        <v>9000000</v>
      </c>
      <c r="G71" s="345"/>
      <c r="H71" s="138">
        <v>45880</v>
      </c>
    </row>
    <row r="72" spans="2:8" s="92" customFormat="1" ht="12.5">
      <c r="C72" s="1007" t="s">
        <v>915</v>
      </c>
      <c r="D72" s="1008"/>
      <c r="E72" s="135">
        <f t="shared" si="5"/>
        <v>0.34952380486832896</v>
      </c>
      <c r="F72" s="136">
        <v>50500000</v>
      </c>
      <c r="G72" s="345"/>
      <c r="H72" s="138">
        <v>45894</v>
      </c>
    </row>
    <row r="73" spans="2:8" s="92" customFormat="1" ht="12.5">
      <c r="C73" s="1007" t="s">
        <v>916</v>
      </c>
      <c r="D73" s="1008"/>
      <c r="E73" s="135">
        <f t="shared" si="5"/>
        <v>6.921263462739187E-2</v>
      </c>
      <c r="F73" s="136">
        <v>10000000</v>
      </c>
      <c r="G73" s="345"/>
      <c r="H73" s="138">
        <v>45908</v>
      </c>
    </row>
    <row r="74" spans="2:8" s="92" customFormat="1" ht="12.5">
      <c r="C74" s="1007" t="s">
        <v>917</v>
      </c>
      <c r="D74" s="1008"/>
      <c r="E74" s="135">
        <f t="shared" si="5"/>
        <v>3.806694904506553E-2</v>
      </c>
      <c r="F74" s="136">
        <v>5500000</v>
      </c>
      <c r="G74" s="345"/>
      <c r="H74" s="138">
        <v>45929</v>
      </c>
    </row>
    <row r="75" spans="2:8" s="92" customFormat="1" ht="12.5">
      <c r="C75" s="1007" t="s">
        <v>917</v>
      </c>
      <c r="D75" s="1008"/>
      <c r="E75" s="135">
        <f t="shared" si="5"/>
        <v>3.806694904506553E-2</v>
      </c>
      <c r="F75" s="136">
        <v>5500000</v>
      </c>
      <c r="G75" s="345"/>
      <c r="H75" s="138">
        <v>45957</v>
      </c>
    </row>
    <row r="76" spans="2:8" s="92" customFormat="1" ht="12.5">
      <c r="B76" s="348"/>
      <c r="C76" s="1007" t="s">
        <v>918</v>
      </c>
      <c r="D76" s="1008"/>
      <c r="E76" s="135">
        <f t="shared" si="5"/>
        <v>5.1909475970543906E-2</v>
      </c>
      <c r="F76" s="136">
        <v>7500000</v>
      </c>
      <c r="G76" s="345"/>
      <c r="H76" s="138">
        <v>45978</v>
      </c>
    </row>
    <row r="77" spans="2:8" s="92" customFormat="1" ht="12.5">
      <c r="B77" s="348"/>
      <c r="C77" s="1007" t="s">
        <v>919</v>
      </c>
      <c r="D77" s="1008"/>
      <c r="E77" s="135">
        <f t="shared" si="5"/>
        <v>1.0381895194108781E-2</v>
      </c>
      <c r="F77" s="136">
        <v>1500000</v>
      </c>
      <c r="G77" s="345"/>
      <c r="H77" s="138">
        <v>45992</v>
      </c>
    </row>
    <row r="78" spans="2:8" s="92" customFormat="1" ht="12.5">
      <c r="B78" s="348"/>
      <c r="C78" s="1007" t="s">
        <v>54</v>
      </c>
      <c r="D78" s="1008"/>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 ref="C27:D27"/>
    <mergeCell ref="C28:D28"/>
    <mergeCell ref="C29:D29"/>
    <mergeCell ref="C30:D30"/>
    <mergeCell ref="C31:D31"/>
    <mergeCell ref="C32:D32"/>
    <mergeCell ref="C33:D33"/>
    <mergeCell ref="C68:D68"/>
    <mergeCell ref="C34:D34"/>
    <mergeCell ref="C37:D37"/>
    <mergeCell ref="C69:D69"/>
    <mergeCell ref="C70:D70"/>
    <mergeCell ref="C71:D71"/>
    <mergeCell ref="C72:D72"/>
    <mergeCell ref="C78:D78"/>
    <mergeCell ref="C73:D73"/>
    <mergeCell ref="C74:D74"/>
    <mergeCell ref="C75:D75"/>
    <mergeCell ref="C76:D76"/>
    <mergeCell ref="C77:D77"/>
  </mergeCells>
  <conditionalFormatting sqref="F39">
    <cfRule type="cellIs" dxfId="28" priority="3" operator="notEqual">
      <formula>$F$4</formula>
    </cfRule>
  </conditionalFormatting>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L11" sqref="C11:L11"/>
    </sheetView>
  </sheetViews>
  <sheetFormatPr defaultColWidth="8.453125" defaultRowHeight="14"/>
  <cols>
    <col min="1" max="1" width="1.453125" style="24" customWidth="1"/>
    <col min="2" max="2" width="8.453125" style="64"/>
    <col min="3" max="3" width="2.453125" style="64" customWidth="1"/>
    <col min="4" max="4" width="21.36328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36328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930</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1013"/>
      <c r="C4" s="1013"/>
      <c r="D4" s="1013"/>
      <c r="E4" s="407"/>
      <c r="F4" s="212" t="s">
        <v>892</v>
      </c>
      <c r="G4" s="207"/>
      <c r="H4" s="212" t="s">
        <v>931</v>
      </c>
      <c r="I4" s="207"/>
      <c r="J4" s="212" t="s">
        <v>893</v>
      </c>
      <c r="K4" s="207"/>
      <c r="L4" s="213" t="s">
        <v>932</v>
      </c>
      <c r="M4" s="111"/>
      <c r="N4" s="213" t="s">
        <v>933</v>
      </c>
      <c r="O4" s="111"/>
      <c r="P4" s="111"/>
    </row>
    <row r="5" spans="1:16" ht="14.5" thickBot="1">
      <c r="A5" s="207"/>
      <c r="B5" s="1014" t="s">
        <v>934</v>
      </c>
      <c r="C5" s="1014"/>
      <c r="D5" s="1014"/>
      <c r="E5" s="407"/>
      <c r="F5" s="214">
        <f>SUM(F9:F23)</f>
        <v>136620512.96264103</v>
      </c>
      <c r="G5" s="209"/>
      <c r="H5" s="214">
        <f>SUM(H9:H23)</f>
        <v>144827424.51297796</v>
      </c>
      <c r="I5" s="209"/>
      <c r="J5" s="214">
        <f>SUM(J9:J23)</f>
        <v>144827424.51297796</v>
      </c>
      <c r="K5" s="207"/>
      <c r="L5" s="215">
        <f>SUM(L9:L23)</f>
        <v>-8206911.5503369085</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503</v>
      </c>
      <c r="C7" s="218"/>
      <c r="D7" s="217" t="s">
        <v>935</v>
      </c>
      <c r="E7" s="218"/>
      <c r="F7" s="219" t="s">
        <v>936</v>
      </c>
      <c r="G7" s="220"/>
      <c r="H7" s="219" t="s">
        <v>937</v>
      </c>
      <c r="I7" s="220"/>
      <c r="J7" s="219" t="s">
        <v>938</v>
      </c>
      <c r="K7" s="220" t="s">
        <v>939</v>
      </c>
      <c r="L7" s="219" t="s">
        <v>940</v>
      </c>
      <c r="M7" s="163"/>
      <c r="N7" s="219" t="s">
        <v>940</v>
      </c>
      <c r="O7" s="163"/>
      <c r="P7" s="114" t="s">
        <v>941</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33532646.899999999</v>
      </c>
      <c r="I9" s="85"/>
      <c r="J9" s="223">
        <f>'Expenditure Breakdown'!X6</f>
        <v>33532646.899999999</v>
      </c>
      <c r="K9" s="88">
        <f>J9/13500000</f>
        <v>2.4838997703703702</v>
      </c>
      <c r="L9" s="224">
        <f>F9-H9</f>
        <v>-956770.43999999762</v>
      </c>
      <c r="M9" s="164"/>
      <c r="N9" s="224">
        <f>H9-J9</f>
        <v>0</v>
      </c>
      <c r="O9" s="164"/>
      <c r="P9" s="245"/>
    </row>
    <row r="10" spans="1:16">
      <c r="A10" s="207"/>
      <c r="B10" s="221">
        <f>'Expenditure Breakdown'!L21</f>
        <v>2</v>
      </c>
      <c r="C10" s="210"/>
      <c r="D10" s="222" t="str">
        <f>'Expenditure Breakdown'!M21</f>
        <v>2. Inverters</v>
      </c>
      <c r="E10" s="85"/>
      <c r="F10" s="223">
        <f>'Expenditure Breakdown'!I21</f>
        <v>9753660</v>
      </c>
      <c r="G10" s="85"/>
      <c r="H10" s="223">
        <f>'Expenditure Breakdown'!X21</f>
        <v>3679305.0099999993</v>
      </c>
      <c r="I10" s="85"/>
      <c r="J10" s="223">
        <f>'Expenditure Breakdown'!X21</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Breakdown'!L37</f>
        <v>3</v>
      </c>
      <c r="C11" s="210"/>
      <c r="D11" s="222" t="str">
        <f>'Expenditure Breakdown'!M37</f>
        <v>3. Mounting Structures</v>
      </c>
      <c r="E11" s="225"/>
      <c r="F11" s="223">
        <f>'Expenditure Breakdown'!I37</f>
        <v>25341747.600000001</v>
      </c>
      <c r="G11" s="85"/>
      <c r="H11" s="223">
        <f>'Expenditure Breakdown'!X37</f>
        <v>11556814.283594001</v>
      </c>
      <c r="I11" s="85"/>
      <c r="J11" s="223">
        <f>'Expenditure Breakdown'!X37</f>
        <v>11556814.283594001</v>
      </c>
      <c r="K11" s="88">
        <f t="shared" si="0"/>
        <v>0.85606031730325938</v>
      </c>
      <c r="L11" s="224">
        <f t="shared" si="1"/>
        <v>13784933.316406</v>
      </c>
      <c r="M11" s="164"/>
      <c r="N11" s="224">
        <f t="shared" si="2"/>
        <v>0</v>
      </c>
      <c r="O11" s="164"/>
      <c r="P11" s="245"/>
    </row>
    <row r="12" spans="1:16">
      <c r="A12" s="207"/>
      <c r="B12" s="221">
        <f>'Expenditure Breakdown'!L56</f>
        <v>4</v>
      </c>
      <c r="C12" s="210"/>
      <c r="D12" s="222" t="str">
        <f>'Expenditure Breakdown'!M56</f>
        <v>4. DC Equipment</v>
      </c>
      <c r="E12" s="225"/>
      <c r="F12" s="223">
        <f>'Expenditure Breakdown'!I56</f>
        <v>8517278.4000000004</v>
      </c>
      <c r="G12" s="85"/>
      <c r="H12" s="223">
        <f>'Expenditure Breakdown'!X56</f>
        <v>9713368.4000000004</v>
      </c>
      <c r="I12" s="85"/>
      <c r="J12" s="223">
        <f>'Expenditure Breakdown'!X56</f>
        <v>9713368.4000000004</v>
      </c>
      <c r="K12" s="88">
        <f t="shared" si="0"/>
        <v>0.71950877037037042</v>
      </c>
      <c r="L12" s="224">
        <f t="shared" si="1"/>
        <v>-1196090</v>
      </c>
      <c r="M12" s="164"/>
      <c r="N12" s="224">
        <f t="shared" si="2"/>
        <v>0</v>
      </c>
      <c r="O12" s="164"/>
      <c r="P12" s="245"/>
    </row>
    <row r="13" spans="1:16">
      <c r="A13" s="207"/>
      <c r="B13" s="221">
        <f>'Expenditure Breakdown'!L81</f>
        <v>5</v>
      </c>
      <c r="C13" s="210"/>
      <c r="D13" s="222" t="str">
        <f>'Expenditure Breakdown'!M81</f>
        <v>5. Monitoring</v>
      </c>
      <c r="E13" s="225"/>
      <c r="F13" s="223">
        <f>'Expenditure Breakdown'!I81</f>
        <v>3974000</v>
      </c>
      <c r="G13" s="85"/>
      <c r="H13" s="223">
        <f>'Expenditure Breakdown'!X81</f>
        <v>3624000</v>
      </c>
      <c r="I13" s="85"/>
      <c r="J13" s="223">
        <f>'Expenditure Breakdown'!X81</f>
        <v>3624000</v>
      </c>
      <c r="K13" s="88">
        <f t="shared" si="0"/>
        <v>0.26844444444444443</v>
      </c>
      <c r="L13" s="224">
        <f t="shared" si="1"/>
        <v>350000</v>
      </c>
      <c r="M13" s="164"/>
      <c r="N13" s="224">
        <f t="shared" si="2"/>
        <v>0</v>
      </c>
      <c r="O13" s="164"/>
      <c r="P13" s="245"/>
    </row>
    <row r="14" spans="1:16">
      <c r="A14" s="207"/>
      <c r="B14" s="221">
        <f>'Expenditure Breakdown'!L97</f>
        <v>6</v>
      </c>
      <c r="C14" s="210"/>
      <c r="D14" s="222" t="str">
        <f>'Expenditure Breakdown'!M97</f>
        <v>6. AC Equipment</v>
      </c>
      <c r="E14" s="225"/>
      <c r="F14" s="223">
        <f>'Expenditure Breakdown'!I97</f>
        <v>19087347.826086957</v>
      </c>
      <c r="G14" s="85"/>
      <c r="H14" s="223">
        <f>'Expenditure Breakdown'!X97</f>
        <v>25725847.106086958</v>
      </c>
      <c r="I14" s="85"/>
      <c r="J14" s="223">
        <f>'Expenditure Breakdown'!X97</f>
        <v>25725847.106086958</v>
      </c>
      <c r="K14" s="88">
        <f t="shared" si="0"/>
        <v>1.9056183041545895</v>
      </c>
      <c r="L14" s="224">
        <f t="shared" si="1"/>
        <v>-6638499.2800000012</v>
      </c>
      <c r="M14" s="164"/>
      <c r="N14" s="224">
        <f t="shared" si="2"/>
        <v>0</v>
      </c>
      <c r="O14" s="164"/>
      <c r="P14" s="245"/>
    </row>
    <row r="15" spans="1:16">
      <c r="A15" s="207"/>
      <c r="B15" s="221">
        <f>'Expenditure Breakdown'!L138</f>
        <v>7</v>
      </c>
      <c r="C15" s="210"/>
      <c r="D15" s="222" t="str">
        <f>'Expenditure Breakdown'!M138</f>
        <v>7.ESG</v>
      </c>
      <c r="E15" s="225"/>
      <c r="F15" s="223">
        <f>'Expenditure Breakdown'!I138</f>
        <v>0</v>
      </c>
      <c r="G15" s="85"/>
      <c r="H15" s="223">
        <f>'Expenditure Breakdown'!X138</f>
        <v>650000</v>
      </c>
      <c r="I15" s="85"/>
      <c r="J15" s="223">
        <f>'Expenditure Breakdown'!X138</f>
        <v>650000</v>
      </c>
      <c r="K15" s="88">
        <f t="shared" si="0"/>
        <v>4.8148148148148148E-2</v>
      </c>
      <c r="L15" s="224">
        <f t="shared" si="1"/>
        <v>-650000</v>
      </c>
      <c r="M15" s="164"/>
      <c r="N15" s="224">
        <f t="shared" si="2"/>
        <v>0</v>
      </c>
      <c r="O15" s="164"/>
      <c r="P15" s="245"/>
    </row>
    <row r="16" spans="1:16">
      <c r="A16" s="207"/>
      <c r="B16" s="221">
        <f>'Expenditure Breakdown'!L147</f>
        <v>8</v>
      </c>
      <c r="C16" s="210"/>
      <c r="D16" s="222" t="str">
        <f>'Expenditure Breakdown'!M147</f>
        <v xml:space="preserve">8. Product Add On </v>
      </c>
      <c r="E16" s="225"/>
      <c r="F16" s="223">
        <f>'Expenditure Breakdown'!I147</f>
        <v>14386935</v>
      </c>
      <c r="G16" s="85"/>
      <c r="H16" s="223">
        <f>'Expenditure Breakdown'!X147</f>
        <v>19222799.299995001</v>
      </c>
      <c r="I16" s="85"/>
      <c r="J16" s="223">
        <f>'Expenditure Breakdown'!X147</f>
        <v>19222799.299995001</v>
      </c>
      <c r="K16" s="88">
        <f t="shared" si="0"/>
        <v>1.4239110592588891</v>
      </c>
      <c r="L16" s="224">
        <f t="shared" si="1"/>
        <v>-4835864.2999950014</v>
      </c>
      <c r="M16" s="164"/>
      <c r="N16" s="224">
        <f t="shared" si="2"/>
        <v>0</v>
      </c>
      <c r="O16" s="164"/>
      <c r="P16" s="245"/>
    </row>
    <row r="17" spans="1:16">
      <c r="A17" s="207"/>
      <c r="B17" s="221">
        <f>'Expenditure Breakdown'!L179</f>
        <v>9</v>
      </c>
      <c r="C17" s="210"/>
      <c r="D17" s="222" t="str">
        <f>'Expenditure Breakdown'!M179</f>
        <v>9. AC &amp; DC installation</v>
      </c>
      <c r="E17" s="225"/>
      <c r="F17" s="223">
        <f>'Expenditure Breakdown'!I179</f>
        <v>12824829</v>
      </c>
      <c r="G17" s="85"/>
      <c r="H17" s="223">
        <f>'Expenditure Breakdown'!X179</f>
        <v>24141124.815000001</v>
      </c>
      <c r="I17" s="85"/>
      <c r="J17" s="223">
        <f>'Expenditure Breakdown'!X179</f>
        <v>24141124.815000001</v>
      </c>
      <c r="K17" s="88">
        <f t="shared" si="0"/>
        <v>1.788231467777778</v>
      </c>
      <c r="L17" s="224">
        <f t="shared" si="1"/>
        <v>-11316295.815000001</v>
      </c>
      <c r="M17" s="164"/>
      <c r="N17" s="224">
        <f t="shared" si="2"/>
        <v>0</v>
      </c>
      <c r="O17" s="164"/>
      <c r="P17" s="245"/>
    </row>
    <row r="18" spans="1:16">
      <c r="A18" s="207"/>
      <c r="B18" s="221">
        <f>'Expenditure Breakdown'!L217</f>
        <v>10</v>
      </c>
      <c r="C18" s="210"/>
      <c r="D18" s="222" t="str">
        <f>'Expenditure Breakdown'!M217</f>
        <v>10. Site Logistics</v>
      </c>
      <c r="E18" s="85"/>
      <c r="F18" s="223">
        <f>'Expenditure Breakdown'!I217</f>
        <v>1661037.4625648628</v>
      </c>
      <c r="G18" s="85"/>
      <c r="H18" s="223">
        <f>'Expenditure Breakdown'!X217</f>
        <v>1799325</v>
      </c>
      <c r="I18" s="85"/>
      <c r="J18" s="223">
        <f>'Expenditure Breakdown'!X217</f>
        <v>1799325</v>
      </c>
      <c r="K18" s="88">
        <f t="shared" si="0"/>
        <v>0.13328333333333334</v>
      </c>
      <c r="L18" s="224">
        <f t="shared" si="1"/>
        <v>-138287.5374351372</v>
      </c>
      <c r="M18" s="164"/>
      <c r="N18" s="224">
        <f t="shared" si="2"/>
        <v>0</v>
      </c>
      <c r="O18" s="164"/>
      <c r="P18" s="245"/>
    </row>
    <row r="19" spans="1:16">
      <c r="A19" s="207"/>
      <c r="B19" s="221">
        <f>'Expenditure Breakdown'!L266</f>
        <v>11</v>
      </c>
      <c r="C19" s="210"/>
      <c r="D19" s="222" t="str">
        <f>'Expenditure Breakdown'!M266</f>
        <v>11. Due Dilligence</v>
      </c>
      <c r="E19" s="85"/>
      <c r="F19" s="223">
        <f>'Expenditure Breakdown'!I266</f>
        <v>1730000</v>
      </c>
      <c r="G19" s="85"/>
      <c r="H19" s="223">
        <f>'Expenditure Breakdown'!X266</f>
        <v>2103504.4000000004</v>
      </c>
      <c r="I19" s="85"/>
      <c r="J19" s="223">
        <f>'Expenditure Breakdown'!X266</f>
        <v>2103504.4000000004</v>
      </c>
      <c r="K19" s="88">
        <f t="shared" si="0"/>
        <v>0.15581514074074077</v>
      </c>
      <c r="L19" s="224">
        <f t="shared" si="1"/>
        <v>-373504.40000000037</v>
      </c>
      <c r="M19" s="164"/>
      <c r="N19" s="224">
        <f t="shared" si="2"/>
        <v>0</v>
      </c>
      <c r="O19" s="164"/>
      <c r="P19" s="245"/>
    </row>
    <row r="20" spans="1:16">
      <c r="A20" s="207"/>
      <c r="B20" s="221">
        <f>'Expenditure Breakdown'!L316</f>
        <v>12</v>
      </c>
      <c r="C20" s="210"/>
      <c r="D20" s="222" t="str">
        <f>'Expenditure Breakdown'!M316</f>
        <v>12. BDP Commission</v>
      </c>
      <c r="E20" s="85"/>
      <c r="F20" s="223">
        <f>'Expenditure Breakdown'!I316</f>
        <v>0</v>
      </c>
      <c r="G20" s="85"/>
      <c r="H20" s="223">
        <f>'Expenditure Breakdown'!X316</f>
        <v>0</v>
      </c>
      <c r="I20" s="85"/>
      <c r="J20" s="223">
        <f>'Expenditure Breakdown'!X316</f>
        <v>0</v>
      </c>
      <c r="K20" s="88">
        <f t="shared" si="0"/>
        <v>0</v>
      </c>
      <c r="L20" s="224">
        <f t="shared" si="1"/>
        <v>0</v>
      </c>
      <c r="M20" s="164"/>
      <c r="N20" s="224">
        <f t="shared" si="2"/>
        <v>0</v>
      </c>
      <c r="O20" s="164"/>
      <c r="P20" s="245"/>
    </row>
    <row r="21" spans="1:16">
      <c r="A21" s="207"/>
      <c r="B21" s="221">
        <f>'Expenditure Breakdown'!L319</f>
        <v>13</v>
      </c>
      <c r="C21" s="210"/>
      <c r="D21" s="222" t="str">
        <f>'Expenditure Breakdown'!M320</f>
        <v>13. Engineering</v>
      </c>
      <c r="E21" s="85"/>
      <c r="F21" s="223">
        <f>'Expenditure Breakdown'!I319</f>
        <v>4531726.213989215</v>
      </c>
      <c r="G21" s="85"/>
      <c r="H21" s="223">
        <f>'Expenditure Breakdown'!X319</f>
        <v>4531726.213989215</v>
      </c>
      <c r="I21" s="85"/>
      <c r="J21" s="223">
        <f>'Expenditure Breakdown'!X319</f>
        <v>4531726.213989215</v>
      </c>
      <c r="K21" s="88">
        <f t="shared" si="0"/>
        <v>0.33568342325846035</v>
      </c>
      <c r="L21" s="224">
        <f t="shared" si="1"/>
        <v>0</v>
      </c>
      <c r="M21" s="164"/>
      <c r="N21" s="224">
        <f t="shared" si="2"/>
        <v>0</v>
      </c>
      <c r="O21" s="164"/>
      <c r="P21" s="245"/>
    </row>
    <row r="22" spans="1:16">
      <c r="A22" s="207"/>
      <c r="B22" s="221">
        <f>'Expenditure Breakdown'!L335</f>
        <v>14</v>
      </c>
      <c r="C22" s="210"/>
      <c r="D22" s="222" t="str">
        <f>'Expenditure Breakdown'!M335</f>
        <v>14. General Expenses</v>
      </c>
      <c r="E22" s="85"/>
      <c r="F22" s="223">
        <f>'Expenditure Breakdown'!I335</f>
        <v>236075</v>
      </c>
      <c r="G22" s="85"/>
      <c r="H22" s="223">
        <f>'Expenditure Breakdown'!X335</f>
        <v>457800</v>
      </c>
      <c r="I22" s="85"/>
      <c r="J22" s="223">
        <f>'Expenditure Breakdown'!X335</f>
        <v>457800</v>
      </c>
      <c r="K22" s="88">
        <f t="shared" si="0"/>
        <v>3.3911111111111114E-2</v>
      </c>
      <c r="L22" s="224">
        <f t="shared" si="1"/>
        <v>-221725</v>
      </c>
      <c r="M22" s="164"/>
      <c r="N22" s="224">
        <f t="shared" si="2"/>
        <v>0</v>
      </c>
      <c r="O22" s="164"/>
      <c r="P22" s="245"/>
    </row>
    <row r="23" spans="1:16">
      <c r="A23" s="207"/>
      <c r="B23" s="221">
        <f>'Expenditure Breakdown'!L372</f>
        <v>15</v>
      </c>
      <c r="C23" s="210"/>
      <c r="D23" s="222" t="str">
        <f>'Expenditure Breakdown'!M372</f>
        <v>15. Service Add On</v>
      </c>
      <c r="E23" s="85"/>
      <c r="F23" s="223">
        <f>'Expenditure Breakdown'!I372</f>
        <v>2000000</v>
      </c>
      <c r="G23" s="85"/>
      <c r="H23" s="223">
        <f>'Expenditure Breakdown'!X372</f>
        <v>4089163.0843127687</v>
      </c>
      <c r="I23" s="85"/>
      <c r="J23" s="223">
        <f>'Expenditure Breakdown'!X372</f>
        <v>4089163.0843127687</v>
      </c>
      <c r="K23" s="88">
        <f t="shared" si="0"/>
        <v>0.30290096920835324</v>
      </c>
      <c r="L23" s="224">
        <f t="shared" si="1"/>
        <v>-2089163.0843127687</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942</v>
      </c>
      <c r="E25" s="85"/>
      <c r="F25" s="227">
        <f>'Expenditure Breakdown'!I2-'Expenditure Tracking'!F5</f>
        <v>0</v>
      </c>
      <c r="G25" s="227" t="e">
        <f>#REF!-G5</f>
        <v>#REF!</v>
      </c>
      <c r="H25" s="227">
        <f>'Expenditure Breakdown'!X2-H5</f>
        <v>0</v>
      </c>
      <c r="I25" s="227" t="e">
        <f>#REF!-I5</f>
        <v>#REF!</v>
      </c>
      <c r="J25" s="227">
        <f>'Expenditure Breakdown'!X2-J5</f>
        <v>0</v>
      </c>
      <c r="K25" s="88">
        <f>SUM(K9:K23)</f>
        <v>10.7279573713317</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7" priority="5" operator="notEqual">
      <formula>0</formula>
    </cfRule>
  </conditionalFormatting>
  <conditionalFormatting sqref="H25">
    <cfRule type="cellIs" dxfId="26" priority="3" operator="notEqual">
      <formula>0</formula>
    </cfRule>
  </conditionalFormatting>
  <conditionalFormatting sqref="J25">
    <cfRule type="cellIs" dxfId="25" priority="4" operator="notEqual">
      <formula>0</formula>
    </cfRule>
  </conditionalFormatting>
  <conditionalFormatting sqref="L5 L9:L23">
    <cfRule type="cellIs" dxfId="24" priority="6" operator="lessThan">
      <formula>0</formula>
    </cfRule>
    <cfRule type="cellIs" dxfId="23" priority="7" operator="greaterThanOrEqual">
      <formula>0</formula>
    </cfRule>
  </conditionalFormatting>
  <conditionalFormatting sqref="N5 N9:N23">
    <cfRule type="cellIs" dxfId="22" priority="1" operator="lessThan">
      <formula>0</formula>
    </cfRule>
    <cfRule type="cellIs" dxfId="21" priority="2" operator="greaterThanOrEqual">
      <formula>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Y754"/>
  <sheetViews>
    <sheetView tabSelected="1" topLeftCell="L1" zoomScale="55" zoomScaleNormal="55" workbookViewId="0">
      <pane ySplit="4" topLeftCell="A149" activePane="bottomLeft" state="frozen"/>
      <selection activeCell="X33" sqref="X33"/>
      <selection pane="bottomLeft" activeCell="T207" sqref="T207"/>
    </sheetView>
  </sheetViews>
  <sheetFormatPr defaultColWidth="9.453125" defaultRowHeight="14"/>
  <cols>
    <col min="1" max="1" width="2.453125" style="111" hidden="1" customWidth="1"/>
    <col min="2" max="2" width="6.453125" style="24" hidden="1" customWidth="1"/>
    <col min="3" max="3" width="34.453125" style="24" hidden="1" customWidth="1"/>
    <col min="4" max="4" width="53.6328125" style="24" hidden="1" customWidth="1"/>
    <col min="5" max="5" width="8.453125" style="70" hidden="1" customWidth="1"/>
    <col min="6" max="6" width="17.453125" style="467" hidden="1" customWidth="1"/>
    <col min="7" max="8" width="18.453125" style="24" hidden="1" customWidth="1"/>
    <col min="9" max="9" width="23.453125" style="340" hidden="1" customWidth="1"/>
    <col min="10" max="10" width="23.453125" style="340" bestFit="1" customWidth="1"/>
    <col min="11" max="11" width="4.453125" style="111" customWidth="1"/>
    <col min="12" max="12" width="6.453125" style="111" bestFit="1" customWidth="1"/>
    <col min="13" max="13" width="22.90625" style="111" bestFit="1" customWidth="1"/>
    <col min="14" max="14" width="90.6328125" style="111" bestFit="1" customWidth="1"/>
    <col min="15" max="15" width="17.6328125" style="111" customWidth="1"/>
    <col min="16" max="16" width="16.6328125" style="111" bestFit="1" customWidth="1"/>
    <col min="17" max="17" width="17.36328125" style="111" bestFit="1" customWidth="1"/>
    <col min="18" max="18" width="33.08984375" style="246" customWidth="1"/>
    <col min="19" max="19" width="46.1796875" style="111" customWidth="1"/>
    <col min="20" max="20" width="17.453125" style="111" bestFit="1" customWidth="1"/>
    <col min="21" max="21" width="17.453125" style="111" customWidth="1"/>
    <col min="22" max="22" width="15.54296875" style="111" customWidth="1"/>
    <col min="23" max="23" width="17.45312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30" width="17.453125" style="111" customWidth="1"/>
    <col min="31" max="31" width="23.6328125" style="111" bestFit="1" customWidth="1"/>
    <col min="32" max="76" width="17.453125" style="111" customWidth="1"/>
    <col min="77" max="16384" width="9.453125" style="24"/>
  </cols>
  <sheetData>
    <row r="1" spans="1:76" s="111" customFormat="1" ht="4.5" customHeight="1" thickBot="1">
      <c r="E1" s="156"/>
      <c r="F1" s="457"/>
      <c r="I1" s="246"/>
      <c r="J1" s="246"/>
      <c r="O1" s="156"/>
      <c r="P1" s="457"/>
      <c r="Q1" s="353"/>
      <c r="R1" s="353"/>
      <c r="S1" s="353"/>
      <c r="T1" s="353"/>
      <c r="U1" s="353"/>
      <c r="V1" s="353"/>
      <c r="W1" s="353"/>
      <c r="Y1" s="490"/>
      <c r="Z1" s="496"/>
    </row>
    <row r="2" spans="1:76" ht="21.75" customHeight="1" thickBot="1">
      <c r="B2" s="956" t="s">
        <v>943</v>
      </c>
      <c r="C2" s="957"/>
      <c r="D2" s="957"/>
      <c r="E2" s="957"/>
      <c r="F2" s="957"/>
      <c r="G2" s="957"/>
      <c r="H2" s="531"/>
      <c r="I2" s="248">
        <f>SUM(I6:I395)</f>
        <v>136620512.96264103</v>
      </c>
      <c r="J2" s="248">
        <f>SUM(J6:J395)</f>
        <v>144482290.75276861</v>
      </c>
      <c r="L2" s="958" t="s">
        <v>944</v>
      </c>
      <c r="M2" s="959"/>
      <c r="N2" s="959"/>
      <c r="O2" s="959"/>
      <c r="P2" s="959"/>
      <c r="Q2" s="959"/>
      <c r="R2" s="960" t="s">
        <v>945</v>
      </c>
      <c r="S2" s="961"/>
      <c r="T2" s="961"/>
      <c r="U2" s="961"/>
      <c r="V2" s="961"/>
      <c r="W2" s="962"/>
      <c r="X2" s="492">
        <f>SUM(X6:X395)</f>
        <v>144827424.51297796</v>
      </c>
      <c r="Y2" s="490"/>
      <c r="Z2" s="498" t="s">
        <v>932</v>
      </c>
    </row>
    <row r="3" spans="1:76" s="111" customFormat="1" ht="13.5" customHeight="1" thickBot="1">
      <c r="E3" s="156"/>
      <c r="F3" s="457"/>
      <c r="I3" s="246"/>
      <c r="J3" s="360"/>
      <c r="O3" s="156"/>
      <c r="P3" s="457"/>
      <c r="Q3" s="247"/>
      <c r="R3" s="246"/>
      <c r="X3" s="493"/>
      <c r="Y3" s="490"/>
      <c r="Z3" s="499">
        <f>SUM(Z6:Z394)</f>
        <v>-8206911.5503369085</v>
      </c>
    </row>
    <row r="4" spans="1:76" s="70" customFormat="1" ht="42.5" thickBot="1">
      <c r="A4" s="156"/>
      <c r="B4" s="249" t="s">
        <v>946</v>
      </c>
      <c r="C4" s="250" t="s">
        <v>947</v>
      </c>
      <c r="D4" s="250" t="s">
        <v>948</v>
      </c>
      <c r="E4" s="250" t="s">
        <v>285</v>
      </c>
      <c r="F4" s="458" t="s">
        <v>949</v>
      </c>
      <c r="G4" s="251" t="s">
        <v>950</v>
      </c>
      <c r="H4" s="690" t="s">
        <v>951</v>
      </c>
      <c r="I4" s="252" t="s">
        <v>952</v>
      </c>
      <c r="J4" s="252" t="str">
        <f>IF(J2-'Revenue Tracking'!D4&gt;=0, "Total Revenue", "ERROR on REV" )</f>
        <v>ERROR on REV</v>
      </c>
      <c r="K4" s="156"/>
      <c r="L4" s="249" t="s">
        <v>946</v>
      </c>
      <c r="M4" s="250" t="s">
        <v>953</v>
      </c>
      <c r="N4" s="250" t="s">
        <v>948</v>
      </c>
      <c r="O4" s="250" t="s">
        <v>285</v>
      </c>
      <c r="P4" s="458" t="s">
        <v>949</v>
      </c>
      <c r="Q4" s="364" t="s">
        <v>954</v>
      </c>
      <c r="R4" s="518" t="s">
        <v>955</v>
      </c>
      <c r="S4" s="518" t="s">
        <v>906</v>
      </c>
      <c r="T4" s="362" t="s">
        <v>907</v>
      </c>
      <c r="U4" s="363" t="s">
        <v>956</v>
      </c>
      <c r="V4" s="364" t="s">
        <v>957</v>
      </c>
      <c r="W4" s="362" t="s">
        <v>958</v>
      </c>
      <c r="X4" s="494" t="s">
        <v>952</v>
      </c>
      <c r="Y4" s="504"/>
      <c r="Z4" s="498" t="s">
        <v>940</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691"/>
      <c r="I5" s="257"/>
      <c r="J5" s="257"/>
      <c r="K5" s="258"/>
      <c r="L5" s="253"/>
      <c r="M5" s="254"/>
      <c r="N5" s="254"/>
      <c r="O5" s="255"/>
      <c r="P5" s="459"/>
      <c r="Q5" s="474"/>
      <c r="R5" s="526"/>
      <c r="S5" s="527"/>
      <c r="T5" s="527"/>
      <c r="U5" s="527"/>
      <c r="V5" s="527"/>
      <c r="W5" s="527"/>
      <c r="X5" s="495"/>
      <c r="Y5" s="505"/>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959</v>
      </c>
      <c r="D6" s="272" t="s">
        <v>960</v>
      </c>
      <c r="E6" s="273"/>
      <c r="F6" s="430"/>
      <c r="G6" s="383">
        <v>31765076.460000001</v>
      </c>
      <c r="H6" s="692">
        <v>45929</v>
      </c>
      <c r="I6" s="913">
        <f>SUM(G6:G19)</f>
        <v>32575876.460000001</v>
      </c>
      <c r="J6" s="913">
        <v>34471826.941798903</v>
      </c>
      <c r="K6" s="380"/>
      <c r="L6" s="271">
        <v>1</v>
      </c>
      <c r="M6" s="410" t="s">
        <v>961</v>
      </c>
      <c r="N6" s="272" t="s">
        <v>962</v>
      </c>
      <c r="O6" s="878"/>
      <c r="P6" s="430">
        <f>2.28*620</f>
        <v>1413.6</v>
      </c>
      <c r="Q6" s="383">
        <f>P6*SUM(O7:O9)*10%</f>
        <v>2365235.52</v>
      </c>
      <c r="R6" s="873"/>
      <c r="S6" s="644" t="s">
        <v>963</v>
      </c>
      <c r="T6" s="532">
        <v>46142</v>
      </c>
      <c r="U6" s="533">
        <f t="shared" ref="U6:U19" si="0">(Q6/$X$6*$J$6)</f>
        <v>2431480.8719151765</v>
      </c>
      <c r="V6" s="925">
        <f>J6-SUM(U6:U19)</f>
        <v>0</v>
      </c>
      <c r="W6" s="874">
        <v>46070</v>
      </c>
      <c r="X6" s="910">
        <f>SUM(Q6:Q19)</f>
        <v>33532646.899999999</v>
      </c>
      <c r="Y6" s="506"/>
      <c r="Z6" s="913">
        <f>I6-X6</f>
        <v>-956770.43999999762</v>
      </c>
      <c r="AB6" s="772" t="s">
        <v>964</v>
      </c>
      <c r="AC6" s="773">
        <v>16.206600000000002</v>
      </c>
      <c r="AE6" s="111" t="s">
        <v>965</v>
      </c>
    </row>
    <row r="7" spans="1:76" ht="15" customHeight="1">
      <c r="B7" s="301">
        <v>1</v>
      </c>
      <c r="C7" s="411"/>
      <c r="D7" s="381" t="s">
        <v>966</v>
      </c>
      <c r="E7" s="382"/>
      <c r="F7" s="452"/>
      <c r="G7" s="305">
        <v>810800</v>
      </c>
      <c r="H7" s="693">
        <v>46064</v>
      </c>
      <c r="I7" s="914"/>
      <c r="J7" s="914"/>
      <c r="K7" s="278"/>
      <c r="L7" s="301">
        <v>1</v>
      </c>
      <c r="M7" s="303" t="s">
        <v>961</v>
      </c>
      <c r="N7" s="381" t="s">
        <v>967</v>
      </c>
      <c r="O7" s="804">
        <f>16732/3</f>
        <v>5577.333333333333</v>
      </c>
      <c r="P7" s="437"/>
      <c r="Q7" s="305">
        <f>O7*$P$6*90%</f>
        <v>7095706.5599999996</v>
      </c>
      <c r="R7" s="888"/>
      <c r="S7" s="645" t="s">
        <v>963</v>
      </c>
      <c r="T7" s="550">
        <v>46142</v>
      </c>
      <c r="U7" s="534">
        <f t="shared" si="0"/>
        <v>7294442.6157455295</v>
      </c>
      <c r="V7" s="926"/>
      <c r="W7" s="607">
        <v>46203</v>
      </c>
      <c r="X7" s="911"/>
      <c r="Y7" s="507"/>
      <c r="Z7" s="914"/>
      <c r="AC7" s="808">
        <v>575125.09</v>
      </c>
      <c r="AD7" s="809">
        <f>AC6*AC7</f>
        <v>9320822.2835940011</v>
      </c>
      <c r="AE7" s="809">
        <f>AD7/10373840</f>
        <v>0.89849296727094319</v>
      </c>
      <c r="AF7" s="809">
        <f>AE7*R9</f>
        <v>0</v>
      </c>
      <c r="AG7" s="809"/>
    </row>
    <row r="8" spans="1:76" ht="15" customHeight="1">
      <c r="B8" s="375">
        <v>1</v>
      </c>
      <c r="C8" s="500"/>
      <c r="D8" s="501"/>
      <c r="E8" s="502"/>
      <c r="F8" s="437"/>
      <c r="G8" s="378"/>
      <c r="H8" s="694"/>
      <c r="I8" s="914"/>
      <c r="J8" s="914"/>
      <c r="K8" s="278"/>
      <c r="L8" s="301">
        <v>1</v>
      </c>
      <c r="M8" s="303" t="s">
        <v>961</v>
      </c>
      <c r="N8" s="381" t="s">
        <v>968</v>
      </c>
      <c r="O8" s="804">
        <f t="shared" ref="O8:O9" si="1">16732/3</f>
        <v>5577.333333333333</v>
      </c>
      <c r="P8" s="437"/>
      <c r="Q8" s="305">
        <f t="shared" ref="Q8:Q9" si="2">O8*$P$6*90%</f>
        <v>7095706.5599999996</v>
      </c>
      <c r="R8" s="888"/>
      <c r="S8" s="645" t="s">
        <v>963</v>
      </c>
      <c r="T8" s="550">
        <v>46142</v>
      </c>
      <c r="U8" s="534">
        <f t="shared" si="0"/>
        <v>7294442.6157455295</v>
      </c>
      <c r="V8" s="926"/>
      <c r="W8" s="607">
        <f>W7</f>
        <v>46203</v>
      </c>
      <c r="X8" s="911"/>
      <c r="Y8" s="507"/>
      <c r="Z8" s="914"/>
      <c r="AD8" s="809"/>
    </row>
    <row r="9" spans="1:76" ht="15" customHeight="1">
      <c r="B9" s="375">
        <v>1</v>
      </c>
      <c r="C9" s="500"/>
      <c r="D9" s="501"/>
      <c r="E9" s="502"/>
      <c r="F9" s="437"/>
      <c r="G9" s="378"/>
      <c r="H9" s="694"/>
      <c r="I9" s="914"/>
      <c r="J9" s="914"/>
      <c r="K9" s="278"/>
      <c r="L9" s="301">
        <v>1</v>
      </c>
      <c r="M9" s="303" t="s">
        <v>961</v>
      </c>
      <c r="N9" s="381" t="s">
        <v>969</v>
      </c>
      <c r="O9" s="804">
        <f t="shared" si="1"/>
        <v>5577.333333333333</v>
      </c>
      <c r="P9" s="764"/>
      <c r="Q9" s="305">
        <f t="shared" si="2"/>
        <v>7095706.5599999996</v>
      </c>
      <c r="R9" s="889"/>
      <c r="S9" s="646" t="s">
        <v>963</v>
      </c>
      <c r="T9" s="551">
        <v>46142</v>
      </c>
      <c r="U9" s="535">
        <f t="shared" si="0"/>
        <v>7294442.6157455295</v>
      </c>
      <c r="V9" s="926"/>
      <c r="W9" s="607">
        <f>W7</f>
        <v>46203</v>
      </c>
      <c r="X9" s="911"/>
      <c r="Y9" s="507"/>
      <c r="Z9" s="914"/>
    </row>
    <row r="10" spans="1:76" ht="15" customHeight="1">
      <c r="B10" s="375">
        <v>1</v>
      </c>
      <c r="C10" s="500"/>
      <c r="D10" s="501"/>
      <c r="E10" s="502"/>
      <c r="F10" s="437"/>
      <c r="G10" s="378"/>
      <c r="H10" s="694"/>
      <c r="I10" s="914"/>
      <c r="J10" s="914"/>
      <c r="K10" s="278"/>
      <c r="L10" s="301">
        <v>1</v>
      </c>
      <c r="M10" s="303" t="s">
        <v>961</v>
      </c>
      <c r="N10" s="381"/>
      <c r="O10" s="879"/>
      <c r="P10" s="437"/>
      <c r="Q10" s="378"/>
      <c r="R10" s="889"/>
      <c r="S10" s="646"/>
      <c r="T10" s="551"/>
      <c r="U10" s="535">
        <f t="shared" si="0"/>
        <v>0</v>
      </c>
      <c r="V10" s="926"/>
      <c r="W10" s="608"/>
      <c r="X10" s="911"/>
      <c r="Y10" s="507"/>
      <c r="Z10" s="914"/>
    </row>
    <row r="11" spans="1:76" ht="15" customHeight="1">
      <c r="B11" s="375">
        <v>1</v>
      </c>
      <c r="C11" s="500"/>
      <c r="D11" s="501"/>
      <c r="E11" s="502"/>
      <c r="F11" s="437"/>
      <c r="G11" s="378"/>
      <c r="H11" s="694"/>
      <c r="I11" s="914"/>
      <c r="J11" s="914"/>
      <c r="K11" s="278"/>
      <c r="L11" s="301">
        <v>1</v>
      </c>
      <c r="M11" s="303" t="s">
        <v>961</v>
      </c>
      <c r="N11" s="381" t="s">
        <v>970</v>
      </c>
      <c r="O11" s="879">
        <v>4970</v>
      </c>
      <c r="P11" s="437">
        <f>2.87*635</f>
        <v>1822.45</v>
      </c>
      <c r="Q11" s="305">
        <f>O11*P11*10%</f>
        <v>905757.65</v>
      </c>
      <c r="R11" s="889"/>
      <c r="S11" s="646" t="s">
        <v>963</v>
      </c>
      <c r="T11" s="551">
        <v>46142</v>
      </c>
      <c r="U11" s="535">
        <f t="shared" si="0"/>
        <v>931126.04725547216</v>
      </c>
      <c r="V11" s="926"/>
      <c r="W11" s="567">
        <f>W6</f>
        <v>46070</v>
      </c>
      <c r="X11" s="911"/>
      <c r="Y11" s="507"/>
      <c r="Z11" s="914"/>
    </row>
    <row r="12" spans="1:76" ht="15" customHeight="1">
      <c r="B12" s="375">
        <v>1</v>
      </c>
      <c r="C12" s="500"/>
      <c r="D12" s="501"/>
      <c r="E12" s="502"/>
      <c r="F12" s="437"/>
      <c r="G12" s="378"/>
      <c r="H12" s="694"/>
      <c r="I12" s="914"/>
      <c r="J12" s="914"/>
      <c r="K12" s="278"/>
      <c r="L12" s="301">
        <v>1</v>
      </c>
      <c r="M12" s="303" t="s">
        <v>961</v>
      </c>
      <c r="N12" s="381" t="s">
        <v>971</v>
      </c>
      <c r="O12" s="879"/>
      <c r="P12" s="437"/>
      <c r="Q12" s="305">
        <f>O11*P11*90%</f>
        <v>8151818.8500000006</v>
      </c>
      <c r="R12" s="889"/>
      <c r="S12" s="646" t="s">
        <v>963</v>
      </c>
      <c r="T12" s="551">
        <v>46142</v>
      </c>
      <c r="U12" s="535">
        <f t="shared" si="0"/>
        <v>8380134.4252992505</v>
      </c>
      <c r="V12" s="926"/>
      <c r="W12" s="608">
        <f>W7</f>
        <v>46203</v>
      </c>
      <c r="X12" s="911"/>
      <c r="Y12" s="507"/>
      <c r="Z12" s="914"/>
    </row>
    <row r="13" spans="1:76" ht="15" customHeight="1">
      <c r="B13" s="375"/>
      <c r="C13" s="500"/>
      <c r="D13" s="501"/>
      <c r="E13" s="502"/>
      <c r="F13" s="437"/>
      <c r="G13" s="378"/>
      <c r="H13" s="694"/>
      <c r="I13" s="914"/>
      <c r="J13" s="914"/>
      <c r="K13" s="278"/>
      <c r="L13" s="301">
        <v>1</v>
      </c>
      <c r="M13" s="303" t="s">
        <v>961</v>
      </c>
      <c r="N13" s="501"/>
      <c r="O13" s="879"/>
      <c r="P13" s="437"/>
      <c r="Q13" s="378"/>
      <c r="R13" s="889"/>
      <c r="S13" s="646"/>
      <c r="T13" s="551"/>
      <c r="U13" s="535">
        <f t="shared" si="0"/>
        <v>0</v>
      </c>
      <c r="V13" s="926"/>
      <c r="W13" s="608"/>
      <c r="X13" s="911"/>
      <c r="Y13" s="507"/>
      <c r="Z13" s="914"/>
    </row>
    <row r="14" spans="1:76" ht="15" customHeight="1">
      <c r="B14" s="375">
        <v>1</v>
      </c>
      <c r="C14" s="500"/>
      <c r="D14" s="501"/>
      <c r="E14" s="502"/>
      <c r="F14" s="437"/>
      <c r="G14" s="378"/>
      <c r="H14" s="694"/>
      <c r="I14" s="914"/>
      <c r="J14" s="914"/>
      <c r="K14" s="278"/>
      <c r="L14" s="301">
        <v>1</v>
      </c>
      <c r="M14" s="303" t="s">
        <v>961</v>
      </c>
      <c r="N14" s="501" t="s">
        <v>972</v>
      </c>
      <c r="O14" s="879">
        <v>312</v>
      </c>
      <c r="P14" s="437">
        <f>2.28*620</f>
        <v>1413.6</v>
      </c>
      <c r="Q14" s="305">
        <f>O14*P14*10%</f>
        <v>44104.32</v>
      </c>
      <c r="R14" s="889"/>
      <c r="S14" s="646" t="s">
        <v>963</v>
      </c>
      <c r="T14" s="551">
        <v>46142</v>
      </c>
      <c r="U14" s="535">
        <f t="shared" si="0"/>
        <v>45339.590726603819</v>
      </c>
      <c r="V14" s="926"/>
      <c r="W14" s="567">
        <f>W6</f>
        <v>46070</v>
      </c>
      <c r="X14" s="911"/>
      <c r="Y14" s="507"/>
      <c r="Z14" s="914"/>
    </row>
    <row r="15" spans="1:76" ht="15" customHeight="1">
      <c r="B15" s="375">
        <v>1</v>
      </c>
      <c r="C15" s="500"/>
      <c r="D15" s="501"/>
      <c r="E15" s="502"/>
      <c r="F15" s="437"/>
      <c r="G15" s="378"/>
      <c r="H15" s="694"/>
      <c r="I15" s="914"/>
      <c r="J15" s="914"/>
      <c r="K15" s="278"/>
      <c r="L15" s="301">
        <v>1</v>
      </c>
      <c r="M15" s="303" t="s">
        <v>961</v>
      </c>
      <c r="N15" s="501" t="s">
        <v>973</v>
      </c>
      <c r="O15" s="879"/>
      <c r="P15" s="437"/>
      <c r="Q15" s="305">
        <f>O14*P14*90%</f>
        <v>396938.87999999995</v>
      </c>
      <c r="R15" s="889"/>
      <c r="S15" s="646" t="s">
        <v>963</v>
      </c>
      <c r="T15" s="551">
        <v>46142</v>
      </c>
      <c r="U15" s="535">
        <f t="shared" si="0"/>
        <v>408056.31653943431</v>
      </c>
      <c r="V15" s="926"/>
      <c r="W15" s="608">
        <f>W7</f>
        <v>46203</v>
      </c>
      <c r="X15" s="911"/>
      <c r="Y15" s="507"/>
      <c r="Z15" s="914"/>
    </row>
    <row r="16" spans="1:76" ht="15" customHeight="1">
      <c r="B16" s="375">
        <v>1</v>
      </c>
      <c r="C16" s="500"/>
      <c r="D16" s="501"/>
      <c r="E16" s="502"/>
      <c r="F16" s="437"/>
      <c r="G16" s="378"/>
      <c r="H16" s="694"/>
      <c r="I16" s="914"/>
      <c r="J16" s="914"/>
      <c r="K16" s="278"/>
      <c r="L16" s="301">
        <v>1</v>
      </c>
      <c r="M16" s="303" t="s">
        <v>961</v>
      </c>
      <c r="N16" s="381"/>
      <c r="O16" s="880"/>
      <c r="P16" s="437"/>
      <c r="Q16" s="305"/>
      <c r="R16" s="889"/>
      <c r="S16" s="646"/>
      <c r="T16" s="551" t="str">
        <f t="shared" ref="T16:T59" si="3">IF(W16&gt;1,EOMONTH(W16,0),"")</f>
        <v/>
      </c>
      <c r="U16" s="535">
        <f t="shared" si="0"/>
        <v>0</v>
      </c>
      <c r="V16" s="926"/>
      <c r="W16" s="608"/>
      <c r="X16" s="911"/>
      <c r="Y16" s="507"/>
      <c r="Z16" s="914"/>
    </row>
    <row r="17" spans="1:26" ht="15" customHeight="1">
      <c r="B17" s="375">
        <v>1</v>
      </c>
      <c r="C17" s="500"/>
      <c r="D17" s="501"/>
      <c r="E17" s="502"/>
      <c r="F17" s="437"/>
      <c r="G17" s="378"/>
      <c r="H17" s="694"/>
      <c r="I17" s="914"/>
      <c r="J17" s="914"/>
      <c r="K17" s="278"/>
      <c r="L17" s="301">
        <v>1</v>
      </c>
      <c r="M17" s="303" t="s">
        <v>961</v>
      </c>
      <c r="N17" s="501" t="s">
        <v>974</v>
      </c>
      <c r="O17" s="879">
        <v>270</v>
      </c>
      <c r="P17" s="437">
        <f>2.28*620</f>
        <v>1413.6</v>
      </c>
      <c r="Q17" s="378">
        <f>O17*P17*10%</f>
        <v>38167.200000000004</v>
      </c>
      <c r="R17" s="889"/>
      <c r="S17" s="646" t="s">
        <v>963</v>
      </c>
      <c r="T17" s="551">
        <v>46142</v>
      </c>
      <c r="U17" s="535">
        <f t="shared" si="0"/>
        <v>39236.184282637929</v>
      </c>
      <c r="V17" s="926"/>
      <c r="W17" s="567">
        <f>W6</f>
        <v>46070</v>
      </c>
      <c r="X17" s="911"/>
      <c r="Y17" s="507"/>
      <c r="Z17" s="914"/>
    </row>
    <row r="18" spans="1:26" ht="15" customHeight="1">
      <c r="B18" s="375"/>
      <c r="C18" s="500"/>
      <c r="D18" s="501"/>
      <c r="E18" s="502"/>
      <c r="F18" s="437"/>
      <c r="G18" s="378"/>
      <c r="H18" s="694"/>
      <c r="I18" s="914"/>
      <c r="J18" s="914"/>
      <c r="K18" s="278"/>
      <c r="L18" s="375"/>
      <c r="M18" s="379"/>
      <c r="N18" s="501"/>
      <c r="O18" s="879"/>
      <c r="P18" s="437"/>
      <c r="Q18" s="378">
        <f>O17*P17*90%</f>
        <v>343504.8</v>
      </c>
      <c r="R18" s="889"/>
      <c r="S18" s="646" t="s">
        <v>963</v>
      </c>
      <c r="T18" s="551">
        <v>46142</v>
      </c>
      <c r="U18" s="535">
        <f t="shared" si="0"/>
        <v>353125.65854374127</v>
      </c>
      <c r="V18" s="926"/>
      <c r="W18" s="608">
        <f>W7</f>
        <v>46203</v>
      </c>
      <c r="X18" s="911"/>
      <c r="Y18" s="507"/>
      <c r="Z18" s="914"/>
    </row>
    <row r="19" spans="1:26" ht="15" customHeight="1" thickBot="1">
      <c r="B19" s="306">
        <v>1</v>
      </c>
      <c r="C19" s="412"/>
      <c r="D19" s="384"/>
      <c r="E19" s="385"/>
      <c r="F19" s="453"/>
      <c r="G19" s="320"/>
      <c r="H19" s="695"/>
      <c r="I19" s="915"/>
      <c r="J19" s="915"/>
      <c r="K19" s="279"/>
      <c r="L19" s="306">
        <v>1</v>
      </c>
      <c r="M19" s="412" t="s">
        <v>961</v>
      </c>
      <c r="N19" s="384"/>
      <c r="O19" s="881"/>
      <c r="P19" s="453"/>
      <c r="Q19" s="476"/>
      <c r="R19" s="890"/>
      <c r="S19" s="647"/>
      <c r="T19" s="552" t="str">
        <f t="shared" si="3"/>
        <v/>
      </c>
      <c r="U19" s="536">
        <f t="shared" si="0"/>
        <v>0</v>
      </c>
      <c r="V19" s="927"/>
      <c r="W19" s="609"/>
      <c r="X19" s="912"/>
      <c r="Y19" s="470"/>
      <c r="Z19" s="915"/>
    </row>
    <row r="20" spans="1:26" ht="14.5" thickBot="1">
      <c r="A20" s="24"/>
      <c r="B20" s="266"/>
      <c r="C20" s="267"/>
      <c r="D20" s="268"/>
      <c r="E20" s="281"/>
      <c r="F20" s="449"/>
      <c r="G20" s="269"/>
      <c r="H20" s="696"/>
      <c r="I20" s="270"/>
      <c r="J20" s="270"/>
      <c r="K20" s="24"/>
      <c r="L20" s="266"/>
      <c r="M20" s="395"/>
      <c r="N20" s="396"/>
      <c r="O20" s="471"/>
      <c r="P20" s="473"/>
      <c r="Q20" s="477"/>
      <c r="R20" s="891"/>
      <c r="S20" s="648"/>
      <c r="T20" s="553" t="str">
        <f t="shared" si="3"/>
        <v/>
      </c>
      <c r="U20" s="537"/>
      <c r="V20" s="525"/>
      <c r="W20" s="610"/>
      <c r="X20" s="340"/>
      <c r="Y20" s="508"/>
      <c r="Z20" s="270"/>
    </row>
    <row r="21" spans="1:26" ht="14.25" customHeight="1">
      <c r="B21" s="283">
        <v>2</v>
      </c>
      <c r="C21" s="309" t="s">
        <v>975</v>
      </c>
      <c r="D21" s="309" t="s">
        <v>976</v>
      </c>
      <c r="E21" s="355"/>
      <c r="F21" s="450"/>
      <c r="G21" s="286">
        <v>9753660</v>
      </c>
      <c r="H21" s="697">
        <v>45929</v>
      </c>
      <c r="I21" s="907">
        <f>SUM(G21:G35)</f>
        <v>9753660</v>
      </c>
      <c r="J21" s="907">
        <v>10321333.3333333</v>
      </c>
      <c r="K21" s="287"/>
      <c r="L21" s="283">
        <v>2</v>
      </c>
      <c r="M21" s="413" t="s">
        <v>977</v>
      </c>
      <c r="N21" s="309" t="s">
        <v>978</v>
      </c>
      <c r="O21" s="574">
        <v>34</v>
      </c>
      <c r="P21" s="450">
        <v>98750.73</v>
      </c>
      <c r="Q21" s="286">
        <f>O21*P21*5%</f>
        <v>167876.24100000001</v>
      </c>
      <c r="R21" s="963" t="s">
        <v>979</v>
      </c>
      <c r="S21" s="649" t="s">
        <v>980</v>
      </c>
      <c r="T21" s="554">
        <v>46081</v>
      </c>
      <c r="U21" s="538">
        <f t="shared" ref="U21:U35" si="4">(Q21/$X$21*$J$21)</f>
        <v>470933.13476285973</v>
      </c>
      <c r="V21" s="953">
        <f>J21-SUM(U21:U35)</f>
        <v>0</v>
      </c>
      <c r="W21" s="568">
        <v>46052</v>
      </c>
      <c r="X21" s="916">
        <f>SUM(Q21:Q35)</f>
        <v>3679305.0099999993</v>
      </c>
      <c r="Y21" s="509"/>
      <c r="Z21" s="907">
        <f>I21-X21</f>
        <v>6074354.9900000002</v>
      </c>
    </row>
    <row r="22" spans="1:26" ht="14.25" customHeight="1">
      <c r="B22" s="310"/>
      <c r="C22" s="805"/>
      <c r="D22" s="806"/>
      <c r="E22" s="386"/>
      <c r="F22" s="446"/>
      <c r="G22" s="484"/>
      <c r="H22" s="807"/>
      <c r="I22" s="908"/>
      <c r="J22" s="908"/>
      <c r="K22" s="291"/>
      <c r="L22" s="288">
        <v>2</v>
      </c>
      <c r="M22" s="419" t="s">
        <v>977</v>
      </c>
      <c r="N22" s="401" t="s">
        <v>981</v>
      </c>
      <c r="O22" s="576"/>
      <c r="P22" s="446"/>
      <c r="Q22" s="484">
        <f>O21*P21*25%</f>
        <v>839381.20499999996</v>
      </c>
      <c r="R22" s="949"/>
      <c r="S22" s="649" t="s">
        <v>980</v>
      </c>
      <c r="T22" s="554">
        <v>46142</v>
      </c>
      <c r="U22" s="538">
        <f t="shared" si="4"/>
        <v>2354665.6738142986</v>
      </c>
      <c r="V22" s="954"/>
      <c r="W22" s="568">
        <v>46070</v>
      </c>
      <c r="X22" s="917"/>
      <c r="Y22" s="512"/>
      <c r="Z22" s="908"/>
    </row>
    <row r="23" spans="1:26" ht="14.25" customHeight="1">
      <c r="B23" s="288">
        <v>2</v>
      </c>
      <c r="C23" s="419"/>
      <c r="D23" s="401"/>
      <c r="E23" s="503"/>
      <c r="F23" s="446"/>
      <c r="G23" s="481"/>
      <c r="H23" s="698"/>
      <c r="I23" s="908"/>
      <c r="J23" s="908"/>
      <c r="K23" s="291"/>
      <c r="L23" s="288">
        <v>2</v>
      </c>
      <c r="M23" s="419" t="s">
        <v>977</v>
      </c>
      <c r="N23" s="401" t="s">
        <v>982</v>
      </c>
      <c r="O23" s="575"/>
      <c r="P23" s="446"/>
      <c r="Q23" s="481">
        <f>O21*P21*70%*25%</f>
        <v>587566.84349999996</v>
      </c>
      <c r="R23" s="949"/>
      <c r="S23" s="649" t="s">
        <v>980</v>
      </c>
      <c r="T23" s="555">
        <f t="shared" si="3"/>
        <v>46142</v>
      </c>
      <c r="U23" s="539">
        <f t="shared" si="4"/>
        <v>1648265.971670009</v>
      </c>
      <c r="V23" s="954"/>
      <c r="W23" s="612">
        <f>'Project Plan'!M125</f>
        <v>46140</v>
      </c>
      <c r="X23" s="917"/>
      <c r="Y23" s="512"/>
      <c r="Z23" s="908"/>
    </row>
    <row r="24" spans="1:26" ht="14.25" customHeight="1">
      <c r="B24" s="288">
        <v>2</v>
      </c>
      <c r="C24" s="419"/>
      <c r="D24" s="401"/>
      <c r="E24" s="503"/>
      <c r="F24" s="446"/>
      <c r="G24" s="481"/>
      <c r="H24" s="698"/>
      <c r="I24" s="908"/>
      <c r="J24" s="908"/>
      <c r="K24" s="291"/>
      <c r="L24" s="288">
        <v>2</v>
      </c>
      <c r="M24" s="419" t="s">
        <v>977</v>
      </c>
      <c r="N24" s="401" t="s">
        <v>983</v>
      </c>
      <c r="O24" s="575"/>
      <c r="P24" s="446"/>
      <c r="Q24" s="481">
        <f>O21*P21*70%*25%</f>
        <v>587566.84349999996</v>
      </c>
      <c r="R24" s="949"/>
      <c r="S24" s="649" t="s">
        <v>980</v>
      </c>
      <c r="T24" s="555">
        <f t="shared" si="3"/>
        <v>46142</v>
      </c>
      <c r="U24" s="539">
        <f t="shared" si="4"/>
        <v>1648265.971670009</v>
      </c>
      <c r="V24" s="954"/>
      <c r="W24" s="612">
        <f>W23</f>
        <v>46140</v>
      </c>
      <c r="X24" s="917"/>
      <c r="Y24" s="512"/>
      <c r="Z24" s="908"/>
    </row>
    <row r="25" spans="1:26" ht="14.25" customHeight="1">
      <c r="B25" s="288">
        <v>2</v>
      </c>
      <c r="C25" s="419"/>
      <c r="D25" s="401"/>
      <c r="E25" s="503"/>
      <c r="F25" s="446"/>
      <c r="G25" s="481"/>
      <c r="H25" s="698"/>
      <c r="I25" s="908"/>
      <c r="J25" s="908"/>
      <c r="K25" s="291"/>
      <c r="L25" s="288">
        <v>2</v>
      </c>
      <c r="M25" s="419" t="s">
        <v>977</v>
      </c>
      <c r="N25" s="401" t="s">
        <v>984</v>
      </c>
      <c r="O25" s="575"/>
      <c r="P25" s="446"/>
      <c r="Q25" s="481">
        <f>O21*P21*70%*25%</f>
        <v>587566.84349999996</v>
      </c>
      <c r="R25" s="949"/>
      <c r="S25" s="649" t="s">
        <v>980</v>
      </c>
      <c r="T25" s="555">
        <f t="shared" si="3"/>
        <v>46142</v>
      </c>
      <c r="U25" s="539">
        <f t="shared" si="4"/>
        <v>1648265.971670009</v>
      </c>
      <c r="V25" s="954"/>
      <c r="W25" s="612">
        <f>W24</f>
        <v>46140</v>
      </c>
      <c r="X25" s="917"/>
      <c r="Y25" s="512"/>
      <c r="Z25" s="908"/>
    </row>
    <row r="26" spans="1:26" ht="14.25" customHeight="1">
      <c r="B26" s="288">
        <v>2</v>
      </c>
      <c r="C26" s="419"/>
      <c r="D26" s="401"/>
      <c r="E26" s="503"/>
      <c r="F26" s="446"/>
      <c r="G26" s="481"/>
      <c r="H26" s="698"/>
      <c r="I26" s="908"/>
      <c r="J26" s="908"/>
      <c r="K26" s="291"/>
      <c r="L26" s="288">
        <v>2</v>
      </c>
      <c r="M26" s="419" t="s">
        <v>977</v>
      </c>
      <c r="N26" s="401" t="s">
        <v>985</v>
      </c>
      <c r="O26" s="575"/>
      <c r="P26" s="446"/>
      <c r="Q26" s="481">
        <f>O21*P21*70%*25%</f>
        <v>587566.84349999996</v>
      </c>
      <c r="R26" s="949"/>
      <c r="S26" s="649" t="s">
        <v>980</v>
      </c>
      <c r="T26" s="555">
        <f t="shared" si="3"/>
        <v>46142</v>
      </c>
      <c r="U26" s="539">
        <f t="shared" si="4"/>
        <v>1648265.971670009</v>
      </c>
      <c r="V26" s="954"/>
      <c r="W26" s="612">
        <f>W25</f>
        <v>46140</v>
      </c>
      <c r="X26" s="917"/>
      <c r="Y26" s="512"/>
      <c r="Z26" s="908"/>
    </row>
    <row r="27" spans="1:26" ht="14.25" customHeight="1">
      <c r="B27" s="288">
        <v>2</v>
      </c>
      <c r="C27" s="419"/>
      <c r="D27" s="401"/>
      <c r="E27" s="503"/>
      <c r="F27" s="446"/>
      <c r="G27" s="481"/>
      <c r="H27" s="698"/>
      <c r="I27" s="908"/>
      <c r="J27" s="908"/>
      <c r="K27" s="291"/>
      <c r="L27" s="288">
        <v>2</v>
      </c>
      <c r="M27" s="419" t="s">
        <v>977</v>
      </c>
      <c r="N27" s="401"/>
      <c r="O27" s="575"/>
      <c r="P27" s="446"/>
      <c r="Q27" s="481"/>
      <c r="R27" s="949"/>
      <c r="S27" s="650"/>
      <c r="T27" s="555" t="str">
        <f t="shared" si="3"/>
        <v/>
      </c>
      <c r="U27" s="539">
        <f t="shared" si="4"/>
        <v>0</v>
      </c>
      <c r="V27" s="954"/>
      <c r="W27" s="612"/>
      <c r="X27" s="917"/>
      <c r="Y27" s="512"/>
      <c r="Z27" s="908"/>
    </row>
    <row r="28" spans="1:26" ht="14.25" customHeight="1">
      <c r="B28" s="288">
        <v>2</v>
      </c>
      <c r="C28" s="419"/>
      <c r="D28" s="401"/>
      <c r="E28" s="503"/>
      <c r="F28" s="446"/>
      <c r="G28" s="481"/>
      <c r="H28" s="698"/>
      <c r="I28" s="908"/>
      <c r="J28" s="908"/>
      <c r="K28" s="291"/>
      <c r="L28" s="288">
        <v>2</v>
      </c>
      <c r="M28" s="419" t="s">
        <v>977</v>
      </c>
      <c r="N28" s="401" t="s">
        <v>986</v>
      </c>
      <c r="O28" s="575">
        <v>3</v>
      </c>
      <c r="P28" s="446">
        <f>P21</f>
        <v>98750.73</v>
      </c>
      <c r="Q28" s="481">
        <f>O28*P28*5%</f>
        <v>14812.6095</v>
      </c>
      <c r="R28" s="949"/>
      <c r="S28" s="650" t="s">
        <v>980</v>
      </c>
      <c r="T28" s="555">
        <v>46142</v>
      </c>
      <c r="U28" s="539">
        <f t="shared" si="4"/>
        <v>41552.923655546445</v>
      </c>
      <c r="V28" s="954"/>
      <c r="W28" s="569">
        <v>46052</v>
      </c>
      <c r="X28" s="917"/>
      <c r="Y28" s="512"/>
      <c r="Z28" s="908"/>
    </row>
    <row r="29" spans="1:26" ht="14.25" customHeight="1">
      <c r="B29" s="288"/>
      <c r="C29" s="419"/>
      <c r="D29" s="401"/>
      <c r="E29" s="503"/>
      <c r="F29" s="446"/>
      <c r="G29" s="481"/>
      <c r="H29" s="698"/>
      <c r="I29" s="908"/>
      <c r="J29" s="908"/>
      <c r="K29" s="291"/>
      <c r="L29" s="288">
        <v>2</v>
      </c>
      <c r="M29" s="419" t="s">
        <v>977</v>
      </c>
      <c r="N29" s="401" t="s">
        <v>987</v>
      </c>
      <c r="O29" s="575"/>
      <c r="P29" s="446"/>
      <c r="Q29" s="481">
        <f>O28*P28*25%</f>
        <v>74063.047500000001</v>
      </c>
      <c r="R29" s="949"/>
      <c r="S29" s="649" t="s">
        <v>980</v>
      </c>
      <c r="T29" s="555">
        <v>46142</v>
      </c>
      <c r="U29" s="539">
        <f t="shared" si="4"/>
        <v>207764.6182777322</v>
      </c>
      <c r="V29" s="954"/>
      <c r="W29" s="569">
        <f>W22</f>
        <v>46070</v>
      </c>
      <c r="X29" s="917"/>
      <c r="Y29" s="512"/>
      <c r="Z29" s="908"/>
    </row>
    <row r="30" spans="1:26" ht="14.25" customHeight="1">
      <c r="B30" s="288"/>
      <c r="C30" s="419"/>
      <c r="D30" s="401"/>
      <c r="E30" s="503"/>
      <c r="F30" s="446"/>
      <c r="G30" s="481"/>
      <c r="H30" s="698"/>
      <c r="I30" s="908"/>
      <c r="J30" s="908"/>
      <c r="K30" s="291"/>
      <c r="L30" s="288">
        <v>2</v>
      </c>
      <c r="M30" s="419" t="s">
        <v>977</v>
      </c>
      <c r="N30" s="401" t="s">
        <v>988</v>
      </c>
      <c r="O30" s="575"/>
      <c r="P30" s="446"/>
      <c r="Q30" s="481">
        <f>O28*P28*70%</f>
        <v>207376.533</v>
      </c>
      <c r="R30" s="932"/>
      <c r="S30" s="649" t="s">
        <v>980</v>
      </c>
      <c r="T30" s="555">
        <v>46142</v>
      </c>
      <c r="U30" s="539">
        <f t="shared" si="4"/>
        <v>581740.93117765011</v>
      </c>
      <c r="V30" s="954"/>
      <c r="W30" s="612">
        <f>W26</f>
        <v>46140</v>
      </c>
      <c r="X30" s="917"/>
      <c r="Y30" s="512"/>
      <c r="Z30" s="908"/>
    </row>
    <row r="31" spans="1:26" ht="14.25" customHeight="1">
      <c r="B31" s="288">
        <v>2</v>
      </c>
      <c r="C31" s="419"/>
      <c r="D31" s="401"/>
      <c r="E31" s="503"/>
      <c r="F31" s="446"/>
      <c r="G31" s="481"/>
      <c r="H31" s="698"/>
      <c r="I31" s="908"/>
      <c r="J31" s="908"/>
      <c r="K31" s="291"/>
      <c r="L31" s="288">
        <v>2</v>
      </c>
      <c r="M31" s="419" t="s">
        <v>977</v>
      </c>
      <c r="N31" s="401"/>
      <c r="O31" s="575"/>
      <c r="P31" s="446"/>
      <c r="Q31" s="481"/>
      <c r="R31" s="892"/>
      <c r="S31" s="650"/>
      <c r="T31" s="555" t="str">
        <f t="shared" si="3"/>
        <v/>
      </c>
      <c r="U31" s="539">
        <f t="shared" si="4"/>
        <v>0</v>
      </c>
      <c r="V31" s="954"/>
      <c r="W31" s="612"/>
      <c r="X31" s="917"/>
      <c r="Y31" s="512"/>
      <c r="Z31" s="908"/>
    </row>
    <row r="32" spans="1:26" ht="14.25" customHeight="1">
      <c r="B32" s="288">
        <v>2</v>
      </c>
      <c r="C32" s="419"/>
      <c r="D32" s="401"/>
      <c r="E32" s="503"/>
      <c r="F32" s="446"/>
      <c r="G32" s="481"/>
      <c r="H32" s="698"/>
      <c r="I32" s="908"/>
      <c r="J32" s="908"/>
      <c r="K32" s="291"/>
      <c r="L32" s="288">
        <v>2</v>
      </c>
      <c r="M32" s="419" t="s">
        <v>977</v>
      </c>
      <c r="N32" s="401" t="s">
        <v>989</v>
      </c>
      <c r="O32" s="575">
        <v>1</v>
      </c>
      <c r="P32" s="446">
        <v>8944</v>
      </c>
      <c r="Q32" s="481">
        <f>O32*P32</f>
        <v>8944</v>
      </c>
      <c r="R32" s="892"/>
      <c r="S32" s="650"/>
      <c r="T32" s="555">
        <f t="shared" si="3"/>
        <v>46234</v>
      </c>
      <c r="U32" s="539">
        <f t="shared" si="4"/>
        <v>25090.065945180519</v>
      </c>
      <c r="V32" s="954"/>
      <c r="W32" s="612">
        <f>W33</f>
        <v>46234</v>
      </c>
      <c r="X32" s="917"/>
      <c r="Y32" s="512"/>
      <c r="Z32" s="908"/>
    </row>
    <row r="33" spans="1:26" ht="14.25" customHeight="1">
      <c r="B33" s="288">
        <v>2</v>
      </c>
      <c r="C33" s="419"/>
      <c r="D33" s="401"/>
      <c r="E33" s="503"/>
      <c r="F33" s="446"/>
      <c r="G33" s="481"/>
      <c r="H33" s="698"/>
      <c r="I33" s="908"/>
      <c r="J33" s="908"/>
      <c r="K33" s="291"/>
      <c r="L33" s="288">
        <v>2</v>
      </c>
      <c r="M33" s="419" t="s">
        <v>977</v>
      </c>
      <c r="N33" s="401" t="s">
        <v>990</v>
      </c>
      <c r="O33" s="575">
        <v>1</v>
      </c>
      <c r="P33" s="446">
        <v>3424</v>
      </c>
      <c r="Q33" s="481">
        <f>O33*P33</f>
        <v>3424</v>
      </c>
      <c r="R33" s="892"/>
      <c r="S33" s="650"/>
      <c r="T33" s="555">
        <f t="shared" si="3"/>
        <v>46234</v>
      </c>
      <c r="U33" s="539">
        <f t="shared" si="4"/>
        <v>9605.1415246308225</v>
      </c>
      <c r="V33" s="954"/>
      <c r="W33" s="612">
        <f>EOMONTH('Project Plan'!K290+30,0)</f>
        <v>46234</v>
      </c>
      <c r="X33" s="917"/>
      <c r="Y33" s="512"/>
      <c r="Z33" s="908"/>
    </row>
    <row r="34" spans="1:26" ht="14.25" customHeight="1">
      <c r="B34" s="288">
        <v>2</v>
      </c>
      <c r="C34" s="419"/>
      <c r="D34" s="401"/>
      <c r="E34" s="503"/>
      <c r="F34" s="446"/>
      <c r="G34" s="481"/>
      <c r="H34" s="698"/>
      <c r="I34" s="908"/>
      <c r="J34" s="908"/>
      <c r="K34" s="291"/>
      <c r="L34" s="288">
        <v>2</v>
      </c>
      <c r="M34" s="419" t="s">
        <v>977</v>
      </c>
      <c r="N34" s="401" t="s">
        <v>991</v>
      </c>
      <c r="O34" s="575">
        <v>1</v>
      </c>
      <c r="P34" s="446">
        <v>13160</v>
      </c>
      <c r="Q34" s="481">
        <f>O34*P34</f>
        <v>13160</v>
      </c>
      <c r="R34" s="892"/>
      <c r="S34" s="650"/>
      <c r="T34" s="555">
        <f t="shared" si="3"/>
        <v>46234</v>
      </c>
      <c r="U34" s="539">
        <f t="shared" si="4"/>
        <v>36916.957495368471</v>
      </c>
      <c r="V34" s="954"/>
      <c r="W34" s="612">
        <f>EOMONTH('Project Plan'!K290+30,0)</f>
        <v>46234</v>
      </c>
      <c r="X34" s="917"/>
      <c r="Y34" s="512"/>
      <c r="Z34" s="908"/>
    </row>
    <row r="35" spans="1:26" ht="15" customHeight="1" thickBot="1">
      <c r="B35" s="387">
        <v>2</v>
      </c>
      <c r="C35" s="388"/>
      <c r="D35" s="388"/>
      <c r="E35" s="389"/>
      <c r="F35" s="460"/>
      <c r="G35" s="390"/>
      <c r="H35" s="699"/>
      <c r="I35" s="909"/>
      <c r="J35" s="909"/>
      <c r="K35" s="296"/>
      <c r="L35" s="387">
        <v>2</v>
      </c>
      <c r="M35" s="414" t="s">
        <v>977</v>
      </c>
      <c r="N35" s="388"/>
      <c r="O35" s="389"/>
      <c r="P35" s="460"/>
      <c r="Q35" s="478"/>
      <c r="R35" s="893"/>
      <c r="S35" s="651"/>
      <c r="T35" s="556" t="str">
        <f t="shared" si="3"/>
        <v/>
      </c>
      <c r="U35" s="539">
        <f t="shared" si="4"/>
        <v>0</v>
      </c>
      <c r="V35" s="955"/>
      <c r="W35" s="613"/>
      <c r="X35" s="918"/>
      <c r="Y35" s="510"/>
      <c r="Z35" s="909"/>
    </row>
    <row r="36" spans="1:26" ht="14.5" thickBot="1">
      <c r="A36" s="24"/>
      <c r="B36" s="280"/>
      <c r="C36" s="267"/>
      <c r="D36" s="267"/>
      <c r="E36" s="281"/>
      <c r="F36" s="449"/>
      <c r="G36" s="282"/>
      <c r="H36" s="700"/>
      <c r="I36" s="270"/>
      <c r="J36" s="270"/>
      <c r="K36" s="24"/>
      <c r="L36" s="280"/>
      <c r="M36" s="267"/>
      <c r="N36" s="267"/>
      <c r="O36" s="281"/>
      <c r="P36" s="449"/>
      <c r="Q36" s="479"/>
      <c r="R36" s="894"/>
      <c r="S36" s="652"/>
      <c r="T36" s="553" t="str">
        <f t="shared" si="3"/>
        <v/>
      </c>
      <c r="U36" s="541"/>
      <c r="V36" s="521"/>
      <c r="W36" s="610"/>
      <c r="X36" s="340"/>
      <c r="Y36" s="508"/>
      <c r="Z36" s="270"/>
    </row>
    <row r="37" spans="1:26" ht="14.25" customHeight="1">
      <c r="B37" s="271">
        <v>3</v>
      </c>
      <c r="C37" s="299" t="s">
        <v>295</v>
      </c>
      <c r="D37" s="317" t="s">
        <v>992</v>
      </c>
      <c r="E37" s="273"/>
      <c r="F37" s="430">
        <f>G37/10373.84</f>
        <v>1930.8658703045353</v>
      </c>
      <c r="G37" s="274">
        <v>20030493.600000001</v>
      </c>
      <c r="H37" s="701">
        <v>45900</v>
      </c>
      <c r="I37" s="913">
        <f>SUM(G37:G54)</f>
        <v>25341747.600000001</v>
      </c>
      <c r="J37" s="913">
        <v>26816664.126984101</v>
      </c>
      <c r="K37" s="275"/>
      <c r="L37" s="271">
        <v>3</v>
      </c>
      <c r="M37" s="415" t="s">
        <v>993</v>
      </c>
      <c r="N37" s="317"/>
      <c r="O37" s="430"/>
      <c r="P37" s="274"/>
      <c r="Q37" s="274"/>
      <c r="R37" s="873"/>
      <c r="S37" s="653"/>
      <c r="T37" s="557" t="str">
        <f t="shared" si="3"/>
        <v/>
      </c>
      <c r="U37" s="542">
        <f t="shared" ref="U37:U54" si="5">(Q37/$X$37*$J$37)</f>
        <v>0</v>
      </c>
      <c r="V37" s="925">
        <f>J37-SUM(U37:U54)</f>
        <v>0</v>
      </c>
      <c r="W37" s="614"/>
      <c r="X37" s="910">
        <f>SUM(Q37:Q54)</f>
        <v>11556814.283594001</v>
      </c>
      <c r="Y37" s="511"/>
      <c r="Z37" s="913">
        <f>I37-X37</f>
        <v>13784933.316406</v>
      </c>
    </row>
    <row r="38" spans="1:26" ht="14.25" customHeight="1">
      <c r="B38" s="301">
        <v>3</v>
      </c>
      <c r="C38" s="302"/>
      <c r="D38" s="318" t="s">
        <v>994</v>
      </c>
      <c r="E38" s="304"/>
      <c r="F38" s="452"/>
      <c r="G38" s="305">
        <v>4233762</v>
      </c>
      <c r="H38" s="693">
        <v>45929</v>
      </c>
      <c r="I38" s="914"/>
      <c r="J38" s="914"/>
      <c r="K38" s="278"/>
      <c r="L38" s="301">
        <v>3</v>
      </c>
      <c r="M38" s="416" t="s">
        <v>993</v>
      </c>
      <c r="N38" s="318" t="s">
        <v>995</v>
      </c>
      <c r="O38" s="582">
        <v>0.3</v>
      </c>
      <c r="P38" s="452">
        <f>AD7*32%</f>
        <v>2982663.1307500806</v>
      </c>
      <c r="Q38" s="305">
        <f>O38*P38</f>
        <v>894798.93922502419</v>
      </c>
      <c r="R38" s="935" t="s">
        <v>996</v>
      </c>
      <c r="S38" s="645" t="s">
        <v>997</v>
      </c>
      <c r="T38" s="557">
        <v>46081</v>
      </c>
      <c r="U38" s="534">
        <f t="shared" si="5"/>
        <v>2076309.4418193656</v>
      </c>
      <c r="V38" s="926"/>
      <c r="W38" s="607">
        <v>46079</v>
      </c>
      <c r="X38" s="911"/>
      <c r="Y38" s="507"/>
      <c r="Z38" s="914"/>
    </row>
    <row r="39" spans="1:26" ht="14.25" customHeight="1">
      <c r="B39" s="301">
        <v>3</v>
      </c>
      <c r="C39" s="302"/>
      <c r="D39" s="318" t="s">
        <v>998</v>
      </c>
      <c r="E39" s="304"/>
      <c r="F39" s="452"/>
      <c r="G39" s="305">
        <v>1077492</v>
      </c>
      <c r="H39" s="693">
        <v>46013</v>
      </c>
      <c r="I39" s="914"/>
      <c r="J39" s="914"/>
      <c r="K39" s="278"/>
      <c r="L39" s="301">
        <v>3</v>
      </c>
      <c r="M39" s="416" t="s">
        <v>993</v>
      </c>
      <c r="N39" s="318" t="s">
        <v>999</v>
      </c>
      <c r="O39" s="582">
        <v>0.7</v>
      </c>
      <c r="P39" s="452"/>
      <c r="Q39" s="305">
        <f>P38*O39</f>
        <v>2087864.1915250563</v>
      </c>
      <c r="R39" s="936"/>
      <c r="S39" s="645"/>
      <c r="T39" s="557">
        <f t="shared" si="3"/>
        <v>46173</v>
      </c>
      <c r="U39" s="534">
        <f t="shared" si="5"/>
        <v>4844722.0309118526</v>
      </c>
      <c r="V39" s="926"/>
      <c r="W39" s="607">
        <f>'Project Plan'!M121</f>
        <v>46150</v>
      </c>
      <c r="X39" s="911"/>
      <c r="Y39" s="507"/>
      <c r="Z39" s="914"/>
    </row>
    <row r="40" spans="1:26" ht="14.25" customHeight="1">
      <c r="B40" s="301"/>
      <c r="C40" s="376"/>
      <c r="D40" s="377"/>
      <c r="E40" s="399"/>
      <c r="F40" s="437"/>
      <c r="G40" s="378"/>
      <c r="H40" s="694"/>
      <c r="I40" s="914"/>
      <c r="J40" s="914"/>
      <c r="K40" s="278"/>
      <c r="L40" s="301">
        <v>3</v>
      </c>
      <c r="M40" s="416" t="s">
        <v>993</v>
      </c>
      <c r="N40" s="377"/>
      <c r="O40" s="583"/>
      <c r="P40" s="437"/>
      <c r="Q40" s="378"/>
      <c r="R40" s="936"/>
      <c r="S40" s="646"/>
      <c r="T40" s="557" t="str">
        <f t="shared" si="3"/>
        <v/>
      </c>
      <c r="U40" s="534">
        <f t="shared" si="5"/>
        <v>0</v>
      </c>
      <c r="V40" s="926"/>
      <c r="W40" s="608"/>
      <c r="X40" s="911"/>
      <c r="Y40" s="507"/>
      <c r="Z40" s="914"/>
    </row>
    <row r="41" spans="1:26" ht="14.25" customHeight="1">
      <c r="B41" s="301"/>
      <c r="C41" s="376"/>
      <c r="D41" s="377"/>
      <c r="E41" s="399"/>
      <c r="F41" s="437"/>
      <c r="G41" s="378"/>
      <c r="H41" s="694"/>
      <c r="I41" s="914"/>
      <c r="J41" s="914"/>
      <c r="K41" s="278"/>
      <c r="L41" s="301">
        <v>3</v>
      </c>
      <c r="M41" s="416" t="s">
        <v>993</v>
      </c>
      <c r="N41" s="318" t="s">
        <v>1000</v>
      </c>
      <c r="O41" s="582">
        <v>0.3</v>
      </c>
      <c r="P41" s="452">
        <f>AD7*32%</f>
        <v>2982663.1307500806</v>
      </c>
      <c r="Q41" s="305">
        <f>O41*P41</f>
        <v>894798.93922502419</v>
      </c>
      <c r="R41" s="936"/>
      <c r="S41" s="646" t="str">
        <f>S38</f>
        <v>Schletter INVQ0176</v>
      </c>
      <c r="T41" s="557">
        <v>46081</v>
      </c>
      <c r="U41" s="534">
        <f t="shared" si="5"/>
        <v>2076309.4418193656</v>
      </c>
      <c r="V41" s="926"/>
      <c r="W41" s="608">
        <f>W38</f>
        <v>46079</v>
      </c>
      <c r="X41" s="911"/>
      <c r="Y41" s="507"/>
      <c r="Z41" s="914"/>
    </row>
    <row r="42" spans="1:26" ht="14.25" customHeight="1">
      <c r="B42" s="301"/>
      <c r="C42" s="376"/>
      <c r="D42" s="377"/>
      <c r="E42" s="399"/>
      <c r="F42" s="437"/>
      <c r="G42" s="378"/>
      <c r="H42" s="694"/>
      <c r="I42" s="914"/>
      <c r="J42" s="914"/>
      <c r="K42" s="278"/>
      <c r="L42" s="301">
        <v>3</v>
      </c>
      <c r="M42" s="416" t="s">
        <v>993</v>
      </c>
      <c r="N42" s="318" t="s">
        <v>1001</v>
      </c>
      <c r="O42" s="582">
        <v>0.7</v>
      </c>
      <c r="P42" s="452"/>
      <c r="Q42" s="305">
        <f>P41*O42</f>
        <v>2087864.1915250563</v>
      </c>
      <c r="R42" s="936"/>
      <c r="S42" s="646"/>
      <c r="T42" s="557">
        <f t="shared" si="3"/>
        <v>46173</v>
      </c>
      <c r="U42" s="534">
        <f t="shared" si="5"/>
        <v>4844722.0309118526</v>
      </c>
      <c r="V42" s="926"/>
      <c r="W42" s="608">
        <f>'Project Plan'!M122</f>
        <v>46171</v>
      </c>
      <c r="X42" s="911"/>
      <c r="Y42" s="507"/>
      <c r="Z42" s="914"/>
    </row>
    <row r="43" spans="1:26" ht="14.25" customHeight="1">
      <c r="B43" s="301"/>
      <c r="C43" s="376"/>
      <c r="D43" s="377"/>
      <c r="E43" s="399"/>
      <c r="F43" s="437"/>
      <c r="G43" s="378"/>
      <c r="H43" s="694"/>
      <c r="I43" s="914"/>
      <c r="J43" s="914"/>
      <c r="K43" s="278"/>
      <c r="L43" s="301">
        <v>3</v>
      </c>
      <c r="M43" s="416" t="s">
        <v>993</v>
      </c>
      <c r="N43" s="377"/>
      <c r="O43" s="583"/>
      <c r="P43" s="437"/>
      <c r="Q43" s="378"/>
      <c r="R43" s="936"/>
      <c r="S43" s="646"/>
      <c r="T43" s="557" t="str">
        <f t="shared" si="3"/>
        <v/>
      </c>
      <c r="U43" s="534">
        <f t="shared" si="5"/>
        <v>0</v>
      </c>
      <c r="V43" s="926"/>
      <c r="W43" s="608"/>
      <c r="X43" s="911"/>
      <c r="Y43" s="507"/>
      <c r="Z43" s="914"/>
    </row>
    <row r="44" spans="1:26" ht="14.25" customHeight="1">
      <c r="B44" s="301"/>
      <c r="C44" s="376"/>
      <c r="D44" s="377"/>
      <c r="E44" s="399"/>
      <c r="F44" s="437"/>
      <c r="G44" s="378"/>
      <c r="H44" s="694"/>
      <c r="I44" s="914"/>
      <c r="J44" s="914"/>
      <c r="K44" s="278"/>
      <c r="L44" s="301">
        <v>3</v>
      </c>
      <c r="M44" s="416" t="s">
        <v>993</v>
      </c>
      <c r="N44" s="318" t="s">
        <v>1002</v>
      </c>
      <c r="O44" s="582">
        <v>0.3</v>
      </c>
      <c r="P44" s="452">
        <f>AD7*36%</f>
        <v>3355496.0220938404</v>
      </c>
      <c r="Q44" s="305">
        <f>O44*P44</f>
        <v>1006648.806628152</v>
      </c>
      <c r="R44" s="936"/>
      <c r="S44" s="646" t="str">
        <f>S38</f>
        <v>Schletter INVQ0176</v>
      </c>
      <c r="T44" s="557">
        <v>46081</v>
      </c>
      <c r="U44" s="534">
        <f t="shared" si="5"/>
        <v>2335848.1220467859</v>
      </c>
      <c r="V44" s="926"/>
      <c r="W44" s="608">
        <f>W38</f>
        <v>46079</v>
      </c>
      <c r="X44" s="911"/>
      <c r="Y44" s="507"/>
      <c r="Z44" s="914"/>
    </row>
    <row r="45" spans="1:26" ht="14.25" customHeight="1">
      <c r="B45" s="301"/>
      <c r="C45" s="376"/>
      <c r="D45" s="377"/>
      <c r="E45" s="399"/>
      <c r="F45" s="437"/>
      <c r="G45" s="378"/>
      <c r="H45" s="694"/>
      <c r="I45" s="914"/>
      <c r="J45" s="914"/>
      <c r="K45" s="278"/>
      <c r="L45" s="301">
        <v>3</v>
      </c>
      <c r="M45" s="416" t="s">
        <v>993</v>
      </c>
      <c r="N45" s="318" t="s">
        <v>1003</v>
      </c>
      <c r="O45" s="582">
        <v>0.7</v>
      </c>
      <c r="P45" s="452"/>
      <c r="Q45" s="305">
        <f>P44*O45</f>
        <v>2348847.2154656881</v>
      </c>
      <c r="R45" s="939"/>
      <c r="S45" s="646"/>
      <c r="T45" s="557">
        <f t="shared" si="3"/>
        <v>46203</v>
      </c>
      <c r="U45" s="534">
        <f t="shared" si="5"/>
        <v>5450312.2847758336</v>
      </c>
      <c r="V45" s="926"/>
      <c r="W45" s="608">
        <f>'Project Plan'!M123</f>
        <v>46202</v>
      </c>
      <c r="X45" s="911"/>
      <c r="Y45" s="507"/>
      <c r="Z45" s="914"/>
    </row>
    <row r="46" spans="1:26" ht="14.25" customHeight="1">
      <c r="B46" s="301">
        <v>3</v>
      </c>
      <c r="C46" s="376"/>
      <c r="D46" s="377"/>
      <c r="E46" s="399"/>
      <c r="F46" s="437"/>
      <c r="G46" s="378"/>
      <c r="H46" s="694"/>
      <c r="I46" s="914"/>
      <c r="J46" s="914"/>
      <c r="K46" s="278"/>
      <c r="L46" s="301">
        <v>3</v>
      </c>
      <c r="M46" s="416" t="s">
        <v>993</v>
      </c>
      <c r="N46" s="377"/>
      <c r="O46" s="573"/>
      <c r="P46" s="437"/>
      <c r="Q46" s="378"/>
      <c r="R46" s="887"/>
      <c r="S46" s="646"/>
      <c r="T46" s="551" t="str">
        <f t="shared" si="3"/>
        <v/>
      </c>
      <c r="U46" s="535">
        <f t="shared" si="5"/>
        <v>0</v>
      </c>
      <c r="V46" s="926"/>
      <c r="W46" s="608"/>
      <c r="X46" s="911"/>
      <c r="Y46" s="507"/>
      <c r="Z46" s="914"/>
    </row>
    <row r="47" spans="1:26" ht="14.25" customHeight="1">
      <c r="B47" s="301">
        <v>3</v>
      </c>
      <c r="C47" s="376"/>
      <c r="D47" s="377"/>
      <c r="E47" s="399"/>
      <c r="F47" s="437"/>
      <c r="G47" s="378"/>
      <c r="H47" s="694"/>
      <c r="I47" s="914"/>
      <c r="J47" s="914"/>
      <c r="K47" s="278"/>
      <c r="L47" s="301">
        <v>3</v>
      </c>
      <c r="M47" s="416" t="s">
        <v>993</v>
      </c>
      <c r="N47" s="861" t="s">
        <v>1004</v>
      </c>
      <c r="O47" s="862"/>
      <c r="P47" s="863"/>
      <c r="Q47" s="864">
        <v>1077492</v>
      </c>
      <c r="R47" s="887"/>
      <c r="S47" s="646"/>
      <c r="T47" s="551">
        <v>46142</v>
      </c>
      <c r="U47" s="535">
        <f t="shared" si="5"/>
        <v>2500234.0917194793</v>
      </c>
      <c r="V47" s="926"/>
      <c r="W47" s="608">
        <f>T47+30</f>
        <v>46172</v>
      </c>
      <c r="X47" s="911"/>
      <c r="Y47" s="507"/>
      <c r="Z47" s="914"/>
    </row>
    <row r="48" spans="1:26" ht="14.25" customHeight="1">
      <c r="B48" s="301">
        <v>3</v>
      </c>
      <c r="C48" s="376"/>
      <c r="D48" s="377"/>
      <c r="E48" s="399"/>
      <c r="F48" s="437"/>
      <c r="G48" s="378"/>
      <c r="H48" s="694"/>
      <c r="I48" s="914"/>
      <c r="J48" s="914"/>
      <c r="K48" s="278"/>
      <c r="L48" s="301">
        <v>3</v>
      </c>
      <c r="M48" s="416" t="s">
        <v>993</v>
      </c>
      <c r="N48" s="318"/>
      <c r="O48" s="572"/>
      <c r="P48" s="452"/>
      <c r="Q48" s="305"/>
      <c r="R48" s="887"/>
      <c r="S48" s="646"/>
      <c r="T48" s="551"/>
      <c r="U48" s="535">
        <f t="shared" si="5"/>
        <v>0</v>
      </c>
      <c r="V48" s="926"/>
      <c r="W48" s="608"/>
      <c r="X48" s="911"/>
      <c r="Y48" s="507"/>
      <c r="Z48" s="914"/>
    </row>
    <row r="49" spans="1:26" ht="14.25" customHeight="1">
      <c r="B49" s="301">
        <v>3</v>
      </c>
      <c r="C49" s="376"/>
      <c r="D49" s="377"/>
      <c r="E49" s="399"/>
      <c r="F49" s="437"/>
      <c r="G49" s="378"/>
      <c r="H49" s="694"/>
      <c r="I49" s="914"/>
      <c r="J49" s="914"/>
      <c r="K49" s="278"/>
      <c r="L49" s="301">
        <v>3</v>
      </c>
      <c r="M49" s="416" t="s">
        <v>993</v>
      </c>
      <c r="N49" s="861" t="s">
        <v>1005</v>
      </c>
      <c r="O49" s="865">
        <v>0.3</v>
      </c>
      <c r="P49" s="866"/>
      <c r="Q49" s="867">
        <f>968060*O49</f>
        <v>290418</v>
      </c>
      <c r="R49" s="887"/>
      <c r="S49" s="646"/>
      <c r="T49" s="551">
        <v>46203</v>
      </c>
      <c r="U49" s="535">
        <f t="shared" si="5"/>
        <v>673891.76388222631</v>
      </c>
      <c r="V49" s="926"/>
      <c r="W49" s="608">
        <f>'Project Plan'!K124</f>
        <v>46084</v>
      </c>
      <c r="X49" s="911"/>
      <c r="Y49" s="507"/>
      <c r="Z49" s="914"/>
    </row>
    <row r="50" spans="1:26" ht="14.25" customHeight="1">
      <c r="B50" s="301">
        <v>3</v>
      </c>
      <c r="C50" s="376"/>
      <c r="D50" s="377"/>
      <c r="E50" s="399"/>
      <c r="F50" s="437"/>
      <c r="G50" s="378"/>
      <c r="H50" s="694"/>
      <c r="I50" s="914"/>
      <c r="J50" s="914"/>
      <c r="K50" s="278"/>
      <c r="L50" s="301">
        <v>3</v>
      </c>
      <c r="M50" s="416" t="s">
        <v>993</v>
      </c>
      <c r="N50" s="861" t="s">
        <v>1006</v>
      </c>
      <c r="O50" s="865">
        <v>0.7</v>
      </c>
      <c r="P50" s="866"/>
      <c r="Q50" s="867">
        <f>968060*O50</f>
        <v>677642</v>
      </c>
      <c r="R50" s="887"/>
      <c r="S50" s="646"/>
      <c r="T50" s="551">
        <v>46265</v>
      </c>
      <c r="U50" s="535">
        <f t="shared" si="5"/>
        <v>1572414.1157251946</v>
      </c>
      <c r="V50" s="926"/>
      <c r="W50" s="608">
        <f>T50-14</f>
        <v>46251</v>
      </c>
      <c r="X50" s="911"/>
      <c r="Y50" s="507"/>
      <c r="Z50" s="914"/>
    </row>
    <row r="51" spans="1:26" ht="14.25" customHeight="1">
      <c r="B51" s="301">
        <v>3</v>
      </c>
      <c r="C51" s="376"/>
      <c r="D51" s="377"/>
      <c r="E51" s="399"/>
      <c r="F51" s="437"/>
      <c r="G51" s="378"/>
      <c r="H51" s="694"/>
      <c r="I51" s="914"/>
      <c r="J51" s="914"/>
      <c r="K51" s="278"/>
      <c r="L51" s="301">
        <v>3</v>
      </c>
      <c r="M51" s="416" t="s">
        <v>993</v>
      </c>
      <c r="N51" s="377"/>
      <c r="O51" s="399"/>
      <c r="P51" s="437"/>
      <c r="Q51" s="485"/>
      <c r="R51" s="887"/>
      <c r="S51" s="646"/>
      <c r="T51" s="551" t="str">
        <f t="shared" si="3"/>
        <v/>
      </c>
      <c r="U51" s="535">
        <f t="shared" si="5"/>
        <v>0</v>
      </c>
      <c r="V51" s="926"/>
      <c r="W51" s="608"/>
      <c r="X51" s="911"/>
      <c r="Y51" s="507"/>
      <c r="Z51" s="914"/>
    </row>
    <row r="52" spans="1:26" ht="14.25" customHeight="1">
      <c r="B52" s="301">
        <v>3</v>
      </c>
      <c r="C52" s="376"/>
      <c r="D52" s="377"/>
      <c r="E52" s="399"/>
      <c r="F52" s="437"/>
      <c r="G52" s="378"/>
      <c r="H52" s="694"/>
      <c r="I52" s="914"/>
      <c r="J52" s="914"/>
      <c r="K52" s="278"/>
      <c r="L52" s="301">
        <v>3</v>
      </c>
      <c r="M52" s="416" t="s">
        <v>993</v>
      </c>
      <c r="N52" s="377" t="s">
        <v>1007</v>
      </c>
      <c r="O52" s="757"/>
      <c r="P52" s="437"/>
      <c r="Q52" s="485">
        <v>190440</v>
      </c>
      <c r="R52" s="887" t="s">
        <v>996</v>
      </c>
      <c r="S52" s="646"/>
      <c r="T52" s="551">
        <v>46081</v>
      </c>
      <c r="U52" s="535">
        <f t="shared" si="5"/>
        <v>441900.80337214348</v>
      </c>
      <c r="V52" s="926"/>
      <c r="W52" s="608">
        <f>T52+120</f>
        <v>46201</v>
      </c>
      <c r="X52" s="911"/>
      <c r="Y52" s="507"/>
      <c r="Z52" s="914"/>
    </row>
    <row r="53" spans="1:26" ht="14.25" customHeight="1">
      <c r="B53" s="301">
        <v>3</v>
      </c>
      <c r="C53" s="376"/>
      <c r="D53" s="377"/>
      <c r="E53" s="399"/>
      <c r="F53" s="437"/>
      <c r="G53" s="378"/>
      <c r="H53" s="694"/>
      <c r="I53" s="914"/>
      <c r="J53" s="914"/>
      <c r="K53" s="278"/>
      <c r="L53" s="301">
        <v>3</v>
      </c>
      <c r="M53" s="416" t="s">
        <v>993</v>
      </c>
      <c r="N53" s="377"/>
      <c r="O53" s="757"/>
      <c r="P53" s="437"/>
      <c r="Q53" s="485"/>
      <c r="R53" s="887"/>
      <c r="S53" s="646"/>
      <c r="T53" s="551"/>
      <c r="U53" s="535">
        <f t="shared" si="5"/>
        <v>0</v>
      </c>
      <c r="V53" s="926"/>
      <c r="W53" s="608"/>
      <c r="X53" s="911"/>
      <c r="Y53" s="507"/>
      <c r="Z53" s="914"/>
    </row>
    <row r="54" spans="1:26" ht="15" customHeight="1" thickBot="1">
      <c r="B54" s="306">
        <v>3</v>
      </c>
      <c r="C54" s="327"/>
      <c r="D54" s="319"/>
      <c r="E54" s="308"/>
      <c r="F54" s="453"/>
      <c r="G54" s="320"/>
      <c r="H54" s="695"/>
      <c r="I54" s="915"/>
      <c r="J54" s="915"/>
      <c r="K54" s="279"/>
      <c r="L54" s="306">
        <v>3</v>
      </c>
      <c r="M54" s="417" t="s">
        <v>993</v>
      </c>
      <c r="N54" s="319"/>
      <c r="O54" s="308"/>
      <c r="P54" s="453"/>
      <c r="Q54" s="476"/>
      <c r="R54" s="895"/>
      <c r="S54" s="647"/>
      <c r="T54" s="552" t="str">
        <f t="shared" si="3"/>
        <v/>
      </c>
      <c r="U54" s="536">
        <f t="shared" si="5"/>
        <v>0</v>
      </c>
      <c r="V54" s="927"/>
      <c r="W54" s="609"/>
      <c r="X54" s="912"/>
      <c r="Y54" s="470"/>
      <c r="Z54" s="915"/>
    </row>
    <row r="55" spans="1:26" ht="14.5" thickBot="1">
      <c r="A55" s="24"/>
      <c r="B55" s="280"/>
      <c r="C55" s="297"/>
      <c r="D55" s="298"/>
      <c r="E55" s="281"/>
      <c r="F55" s="449"/>
      <c r="G55" s="282"/>
      <c r="H55" s="700"/>
      <c r="I55" s="270"/>
      <c r="J55" s="270"/>
      <c r="K55" s="24"/>
      <c r="L55" s="280"/>
      <c r="M55" s="297"/>
      <c r="N55" s="298"/>
      <c r="O55" s="281"/>
      <c r="P55" s="449"/>
      <c r="Q55" s="479"/>
      <c r="R55" s="894"/>
      <c r="S55" s="652"/>
      <c r="T55" s="553" t="str">
        <f t="shared" si="3"/>
        <v/>
      </c>
      <c r="U55" s="541"/>
      <c r="V55" s="521"/>
      <c r="W55" s="610"/>
      <c r="X55" s="340"/>
      <c r="Y55" s="508"/>
      <c r="Z55" s="270"/>
    </row>
    <row r="56" spans="1:26" ht="14.25" customHeight="1">
      <c r="B56" s="283">
        <v>4</v>
      </c>
      <c r="C56" s="284" t="s">
        <v>1008</v>
      </c>
      <c r="D56" s="284" t="s">
        <v>1009</v>
      </c>
      <c r="E56" s="355">
        <v>334565</v>
      </c>
      <c r="F56" s="450">
        <v>14</v>
      </c>
      <c r="G56" s="286">
        <f>E56*F56</f>
        <v>4683910</v>
      </c>
      <c r="H56" s="697">
        <v>46066</v>
      </c>
      <c r="I56" s="907">
        <f>SUM(G56:G79)</f>
        <v>8517278.4000000004</v>
      </c>
      <c r="J56" s="907">
        <v>9012993.0158730205</v>
      </c>
      <c r="K56" s="287"/>
      <c r="L56" s="283">
        <v>4</v>
      </c>
      <c r="M56" s="418" t="s">
        <v>1010</v>
      </c>
      <c r="N56" s="284" t="s">
        <v>1011</v>
      </c>
      <c r="O56" s="584">
        <v>296000</v>
      </c>
      <c r="P56" s="450">
        <v>14</v>
      </c>
      <c r="Q56" s="286">
        <f>O56*P56*10%</f>
        <v>414400</v>
      </c>
      <c r="R56" s="896"/>
      <c r="S56" s="649"/>
      <c r="T56" s="554">
        <f t="shared" si="3"/>
        <v>46173</v>
      </c>
      <c r="U56" s="538">
        <f t="shared" ref="U56:U79" si="6">(Q56/$X$56*$J$56)</f>
        <v>384519.98853227677</v>
      </c>
      <c r="V56" s="953">
        <f>J56-SUM(U56:U79)</f>
        <v>0</v>
      </c>
      <c r="W56" s="611">
        <v>46173</v>
      </c>
      <c r="X56" s="916">
        <f>SUM(Q56:Q79)</f>
        <v>9713368.4000000004</v>
      </c>
      <c r="Y56" s="509"/>
      <c r="Z56" s="907">
        <f>I56-X56</f>
        <v>-1196090</v>
      </c>
    </row>
    <row r="57" spans="1:26" ht="14.25" customHeight="1">
      <c r="B57" s="310">
        <v>4</v>
      </c>
      <c r="C57" s="401"/>
      <c r="D57" s="401" t="s">
        <v>1012</v>
      </c>
      <c r="E57" s="386"/>
      <c r="F57" s="446"/>
      <c r="G57" s="290">
        <v>3833368.4</v>
      </c>
      <c r="H57" s="702">
        <v>46080</v>
      </c>
      <c r="I57" s="908"/>
      <c r="J57" s="908"/>
      <c r="K57" s="291"/>
      <c r="L57" s="288">
        <v>4</v>
      </c>
      <c r="M57" s="419" t="s">
        <v>1010</v>
      </c>
      <c r="N57" s="401" t="s">
        <v>1013</v>
      </c>
      <c r="O57" s="585"/>
      <c r="P57" s="446"/>
      <c r="Q57" s="290">
        <f>O56*P56*90%</f>
        <v>3729600</v>
      </c>
      <c r="R57" s="892"/>
      <c r="S57" s="650"/>
      <c r="T57" s="555">
        <f t="shared" si="3"/>
        <v>46234</v>
      </c>
      <c r="U57" s="539">
        <f t="shared" si="6"/>
        <v>3460679.896790491</v>
      </c>
      <c r="V57" s="954"/>
      <c r="W57" s="612">
        <f>'Project Plan'!K171-14+14</f>
        <v>46231</v>
      </c>
      <c r="X57" s="917"/>
      <c r="Y57" s="512"/>
      <c r="Z57" s="908"/>
    </row>
    <row r="58" spans="1:26" ht="14.25" customHeight="1">
      <c r="B58" s="310">
        <v>4</v>
      </c>
      <c r="C58" s="401"/>
      <c r="D58" s="401"/>
      <c r="E58" s="386"/>
      <c r="F58" s="446"/>
      <c r="G58" s="290"/>
      <c r="H58" s="702"/>
      <c r="I58" s="908"/>
      <c r="J58" s="908"/>
      <c r="K58" s="291"/>
      <c r="L58" s="288">
        <v>4</v>
      </c>
      <c r="M58" s="419" t="s">
        <v>1010</v>
      </c>
      <c r="N58" s="401"/>
      <c r="O58" s="585"/>
      <c r="P58" s="446"/>
      <c r="Q58" s="290"/>
      <c r="R58" s="892"/>
      <c r="S58" s="650"/>
      <c r="T58" s="555" t="str">
        <f t="shared" si="3"/>
        <v/>
      </c>
      <c r="U58" s="539">
        <f t="shared" si="6"/>
        <v>0</v>
      </c>
      <c r="V58" s="954"/>
      <c r="W58" s="612"/>
      <c r="X58" s="917"/>
      <c r="Y58" s="512"/>
      <c r="Z58" s="908"/>
    </row>
    <row r="59" spans="1:26" ht="14.25" customHeight="1">
      <c r="B59" s="310">
        <v>4</v>
      </c>
      <c r="C59" s="401"/>
      <c r="D59" s="401"/>
      <c r="E59" s="386"/>
      <c r="F59" s="446"/>
      <c r="G59" s="290"/>
      <c r="H59" s="702"/>
      <c r="I59" s="908"/>
      <c r="J59" s="908"/>
      <c r="K59" s="291"/>
      <c r="L59" s="288">
        <v>4</v>
      </c>
      <c r="M59" s="419" t="s">
        <v>1010</v>
      </c>
      <c r="N59" s="401" t="s">
        <v>1014</v>
      </c>
      <c r="O59" s="585">
        <v>118000</v>
      </c>
      <c r="P59" s="446">
        <v>14</v>
      </c>
      <c r="Q59" s="290">
        <f>O59*P59*10%</f>
        <v>165200</v>
      </c>
      <c r="R59" s="892"/>
      <c r="S59" s="650"/>
      <c r="T59" s="555">
        <f t="shared" si="3"/>
        <v>46173</v>
      </c>
      <c r="U59" s="539">
        <f t="shared" si="6"/>
        <v>153288.37380678602</v>
      </c>
      <c r="V59" s="954"/>
      <c r="W59" s="612">
        <f>W56</f>
        <v>46173</v>
      </c>
      <c r="X59" s="917"/>
      <c r="Y59" s="512"/>
      <c r="Z59" s="908"/>
    </row>
    <row r="60" spans="1:26" ht="14.25" customHeight="1">
      <c r="B60" s="310">
        <v>4</v>
      </c>
      <c r="C60" s="401"/>
      <c r="D60" s="401"/>
      <c r="E60" s="386"/>
      <c r="F60" s="446"/>
      <c r="G60" s="290"/>
      <c r="H60" s="702"/>
      <c r="I60" s="908"/>
      <c r="J60" s="908"/>
      <c r="K60" s="291"/>
      <c r="L60" s="288">
        <v>4</v>
      </c>
      <c r="M60" s="419" t="s">
        <v>1010</v>
      </c>
      <c r="N60" s="401" t="s">
        <v>1015</v>
      </c>
      <c r="O60" s="576"/>
      <c r="P60" s="446"/>
      <c r="Q60" s="290">
        <f>O59*P59*90%</f>
        <v>1486800</v>
      </c>
      <c r="R60" s="892"/>
      <c r="S60" s="650"/>
      <c r="T60" s="555">
        <f t="shared" ref="T60:T135" si="7">IF(W60&gt;1,EOMONTH(W60,0),"")</f>
        <v>46234</v>
      </c>
      <c r="U60" s="539">
        <f t="shared" si="6"/>
        <v>1379595.3642610742</v>
      </c>
      <c r="V60" s="954"/>
      <c r="W60" s="612">
        <f>W57</f>
        <v>46231</v>
      </c>
      <c r="X60" s="917"/>
      <c r="Y60" s="512"/>
      <c r="Z60" s="908"/>
    </row>
    <row r="61" spans="1:26" ht="14.25" customHeight="1">
      <c r="B61" s="310">
        <v>4</v>
      </c>
      <c r="C61" s="401"/>
      <c r="D61" s="401"/>
      <c r="E61" s="386"/>
      <c r="F61" s="446"/>
      <c r="G61" s="290"/>
      <c r="H61" s="702"/>
      <c r="I61" s="908"/>
      <c r="J61" s="908"/>
      <c r="K61" s="291"/>
      <c r="L61" s="288">
        <v>4</v>
      </c>
      <c r="M61" s="419" t="s">
        <v>1010</v>
      </c>
      <c r="N61" s="401"/>
      <c r="O61" s="576"/>
      <c r="P61" s="446"/>
      <c r="Q61" s="290"/>
      <c r="R61" s="892"/>
      <c r="S61" s="650"/>
      <c r="T61" s="555" t="str">
        <f t="shared" si="7"/>
        <v/>
      </c>
      <c r="U61" s="539">
        <f t="shared" si="6"/>
        <v>0</v>
      </c>
      <c r="V61" s="954"/>
      <c r="W61" s="612"/>
      <c r="X61" s="917"/>
      <c r="Y61" s="512"/>
      <c r="Z61" s="908"/>
    </row>
    <row r="62" spans="1:26" ht="14.25" customHeight="1">
      <c r="B62" s="310">
        <v>4</v>
      </c>
      <c r="C62" s="401"/>
      <c r="D62" s="401"/>
      <c r="E62" s="386"/>
      <c r="F62" s="446"/>
      <c r="G62" s="290"/>
      <c r="H62" s="702"/>
      <c r="I62" s="908"/>
      <c r="J62" s="908"/>
      <c r="K62" s="291"/>
      <c r="L62" s="288">
        <v>4</v>
      </c>
      <c r="M62" s="419" t="s">
        <v>1010</v>
      </c>
      <c r="N62" s="401" t="s">
        <v>1016</v>
      </c>
      <c r="O62" s="585">
        <v>6000</v>
      </c>
      <c r="P62" s="446">
        <v>14</v>
      </c>
      <c r="Q62" s="290">
        <f>O62*P62*10%</f>
        <v>8400</v>
      </c>
      <c r="R62" s="892"/>
      <c r="S62" s="650"/>
      <c r="T62" s="555">
        <f t="shared" si="7"/>
        <v>46173</v>
      </c>
      <c r="U62" s="539">
        <f t="shared" si="6"/>
        <v>7794.324091870476</v>
      </c>
      <c r="V62" s="954"/>
      <c r="W62" s="612">
        <f>W56</f>
        <v>46173</v>
      </c>
      <c r="X62" s="917"/>
      <c r="Y62" s="512"/>
      <c r="Z62" s="908"/>
    </row>
    <row r="63" spans="1:26" ht="14.25" customHeight="1">
      <c r="B63" s="310">
        <v>4</v>
      </c>
      <c r="C63" s="401"/>
      <c r="D63" s="401"/>
      <c r="E63" s="386"/>
      <c r="F63" s="446"/>
      <c r="G63" s="290"/>
      <c r="H63" s="702"/>
      <c r="I63" s="908"/>
      <c r="J63" s="908"/>
      <c r="K63" s="291"/>
      <c r="L63" s="288">
        <v>4</v>
      </c>
      <c r="M63" s="419" t="s">
        <v>1010</v>
      </c>
      <c r="N63" s="401" t="s">
        <v>1017</v>
      </c>
      <c r="O63" s="576"/>
      <c r="P63" s="446"/>
      <c r="Q63" s="290">
        <f>O62*P62*90%</f>
        <v>75600</v>
      </c>
      <c r="R63" s="892"/>
      <c r="S63" s="650"/>
      <c r="T63" s="555">
        <f t="shared" si="7"/>
        <v>46234</v>
      </c>
      <c r="U63" s="539">
        <f t="shared" si="6"/>
        <v>70148.916826834276</v>
      </c>
      <c r="V63" s="954"/>
      <c r="W63" s="612">
        <f>W57</f>
        <v>46231</v>
      </c>
      <c r="X63" s="917"/>
      <c r="Y63" s="512"/>
      <c r="Z63" s="908"/>
    </row>
    <row r="64" spans="1:26" ht="14.25" customHeight="1">
      <c r="B64" s="310">
        <v>4</v>
      </c>
      <c r="C64" s="401"/>
      <c r="D64" s="401"/>
      <c r="E64" s="386"/>
      <c r="F64" s="446"/>
      <c r="G64" s="290"/>
      <c r="H64" s="702"/>
      <c r="I64" s="908"/>
      <c r="J64" s="908"/>
      <c r="K64" s="291"/>
      <c r="L64" s="288">
        <v>4</v>
      </c>
      <c r="M64" s="419" t="s">
        <v>1010</v>
      </c>
      <c r="N64" s="401"/>
      <c r="O64" s="576"/>
      <c r="P64" s="446"/>
      <c r="Q64" s="290"/>
      <c r="R64" s="892"/>
      <c r="S64" s="650"/>
      <c r="T64" s="555" t="str">
        <f t="shared" si="7"/>
        <v/>
      </c>
      <c r="U64" s="539">
        <f t="shared" si="6"/>
        <v>0</v>
      </c>
      <c r="V64" s="954"/>
      <c r="W64" s="612"/>
      <c r="X64" s="917"/>
      <c r="Y64" s="512"/>
      <c r="Z64" s="908"/>
    </row>
    <row r="65" spans="1:26" ht="14.25" customHeight="1">
      <c r="B65" s="310">
        <v>4</v>
      </c>
      <c r="C65" s="401"/>
      <c r="D65" s="401"/>
      <c r="E65" s="386"/>
      <c r="F65" s="446"/>
      <c r="G65" s="290"/>
      <c r="H65" s="702"/>
      <c r="I65" s="908"/>
      <c r="J65" s="908"/>
      <c r="K65" s="291"/>
      <c r="L65" s="288">
        <v>4</v>
      </c>
      <c r="M65" s="419" t="s">
        <v>1010</v>
      </c>
      <c r="N65" s="401" t="s">
        <v>1018</v>
      </c>
      <c r="O65" s="634">
        <v>0.5</v>
      </c>
      <c r="P65" s="446">
        <v>633272.9</v>
      </c>
      <c r="Q65" s="290">
        <f>O65*$P$65</f>
        <v>316636.45</v>
      </c>
      <c r="R65" s="892"/>
      <c r="S65" s="650"/>
      <c r="T65" s="555">
        <f t="shared" si="7"/>
        <v>46173</v>
      </c>
      <c r="U65" s="539">
        <f t="shared" si="6"/>
        <v>293805.60840468347</v>
      </c>
      <c r="V65" s="954"/>
      <c r="W65" s="612">
        <f>W56</f>
        <v>46173</v>
      </c>
      <c r="X65" s="917"/>
      <c r="Y65" s="512"/>
      <c r="Z65" s="908"/>
    </row>
    <row r="66" spans="1:26" ht="14.25" customHeight="1">
      <c r="B66" s="310">
        <v>4</v>
      </c>
      <c r="C66" s="401"/>
      <c r="D66" s="401"/>
      <c r="E66" s="386"/>
      <c r="F66" s="446"/>
      <c r="G66" s="290"/>
      <c r="H66" s="702"/>
      <c r="I66" s="908"/>
      <c r="J66" s="908"/>
      <c r="K66" s="291"/>
      <c r="L66" s="288">
        <v>4</v>
      </c>
      <c r="M66" s="419" t="s">
        <v>1010</v>
      </c>
      <c r="N66" s="401" t="s">
        <v>1019</v>
      </c>
      <c r="O66" s="634">
        <v>0.5</v>
      </c>
      <c r="P66" s="446"/>
      <c r="Q66" s="290">
        <f>O66*$P$65</f>
        <v>316636.45</v>
      </c>
      <c r="R66" s="892"/>
      <c r="S66" s="650"/>
      <c r="T66" s="555">
        <f t="shared" si="7"/>
        <v>46203</v>
      </c>
      <c r="U66" s="539">
        <f t="shared" si="6"/>
        <v>293805.60840468347</v>
      </c>
      <c r="V66" s="954"/>
      <c r="W66" s="612">
        <f>W72</f>
        <v>46191</v>
      </c>
      <c r="X66" s="917"/>
      <c r="Y66" s="512"/>
      <c r="Z66" s="908"/>
    </row>
    <row r="67" spans="1:26" ht="14.25" customHeight="1">
      <c r="B67" s="310"/>
      <c r="C67" s="401"/>
      <c r="D67" s="401"/>
      <c r="E67" s="386"/>
      <c r="F67" s="446"/>
      <c r="G67" s="290"/>
      <c r="H67" s="702"/>
      <c r="I67" s="908"/>
      <c r="J67" s="908"/>
      <c r="K67" s="291"/>
      <c r="L67" s="288">
        <v>4</v>
      </c>
      <c r="M67" s="419" t="s">
        <v>1010</v>
      </c>
      <c r="N67" s="401"/>
      <c r="O67" s="634"/>
      <c r="P67" s="446"/>
      <c r="Q67" s="290"/>
      <c r="R67" s="892"/>
      <c r="S67" s="650"/>
      <c r="T67" s="555" t="str">
        <f t="shared" si="7"/>
        <v/>
      </c>
      <c r="U67" s="539">
        <f t="shared" si="6"/>
        <v>0</v>
      </c>
      <c r="V67" s="954"/>
      <c r="W67" s="612"/>
      <c r="X67" s="917"/>
      <c r="Y67" s="512"/>
      <c r="Z67" s="908"/>
    </row>
    <row r="68" spans="1:26" ht="14.25" customHeight="1">
      <c r="B68" s="310"/>
      <c r="C68" s="401"/>
      <c r="D68" s="401"/>
      <c r="E68" s="386"/>
      <c r="F68" s="446"/>
      <c r="G68" s="290"/>
      <c r="H68" s="702"/>
      <c r="I68" s="908"/>
      <c r="J68" s="908"/>
      <c r="K68" s="291"/>
      <c r="L68" s="288">
        <v>4</v>
      </c>
      <c r="M68" s="419" t="s">
        <v>1010</v>
      </c>
      <c r="N68" s="401" t="s">
        <v>1020</v>
      </c>
      <c r="O68" s="634">
        <v>0.5</v>
      </c>
      <c r="P68" s="446">
        <v>300000</v>
      </c>
      <c r="Q68" s="290">
        <f>O68*$P$68</f>
        <v>150000</v>
      </c>
      <c r="R68" s="892"/>
      <c r="S68" s="650"/>
      <c r="T68" s="555">
        <f t="shared" si="7"/>
        <v>46265</v>
      </c>
      <c r="U68" s="539">
        <f t="shared" si="6"/>
        <v>139184.35878340135</v>
      </c>
      <c r="V68" s="954"/>
      <c r="W68" s="612">
        <f>W69</f>
        <v>46245</v>
      </c>
      <c r="X68" s="917"/>
      <c r="Y68" s="512"/>
      <c r="Z68" s="908"/>
    </row>
    <row r="69" spans="1:26" ht="14.25" customHeight="1">
      <c r="B69" s="310"/>
      <c r="C69" s="401"/>
      <c r="D69" s="401"/>
      <c r="E69" s="386"/>
      <c r="F69" s="446"/>
      <c r="G69" s="290"/>
      <c r="H69" s="702"/>
      <c r="I69" s="908"/>
      <c r="J69" s="908"/>
      <c r="K69" s="291"/>
      <c r="L69" s="288">
        <v>4</v>
      </c>
      <c r="M69" s="419" t="s">
        <v>1010</v>
      </c>
      <c r="N69" s="401" t="s">
        <v>1021</v>
      </c>
      <c r="O69" s="634">
        <v>0.5</v>
      </c>
      <c r="P69" s="446"/>
      <c r="Q69" s="290">
        <f>O69*$P$68</f>
        <v>150000</v>
      </c>
      <c r="R69" s="892"/>
      <c r="S69" s="650"/>
      <c r="T69" s="555">
        <f t="shared" si="7"/>
        <v>46265</v>
      </c>
      <c r="U69" s="539">
        <f t="shared" si="6"/>
        <v>139184.35878340135</v>
      </c>
      <c r="V69" s="954"/>
      <c r="W69" s="612">
        <f>'Project Plan'!K171+14</f>
        <v>46245</v>
      </c>
      <c r="X69" s="917"/>
      <c r="Y69" s="512"/>
      <c r="Z69" s="908"/>
    </row>
    <row r="70" spans="1:26" ht="14.25" customHeight="1">
      <c r="B70" s="310">
        <v>4</v>
      </c>
      <c r="C70" s="401"/>
      <c r="D70" s="401"/>
      <c r="E70" s="386"/>
      <c r="F70" s="446"/>
      <c r="G70" s="290"/>
      <c r="H70" s="702"/>
      <c r="I70" s="908"/>
      <c r="J70" s="908"/>
      <c r="K70" s="291"/>
      <c r="L70" s="288">
        <v>4</v>
      </c>
      <c r="M70" s="419" t="s">
        <v>1010</v>
      </c>
      <c r="N70" s="401"/>
      <c r="O70" s="576"/>
      <c r="P70" s="446"/>
      <c r="Q70" s="290"/>
      <c r="R70" s="892"/>
      <c r="S70" s="650"/>
      <c r="T70" s="555" t="str">
        <f t="shared" si="7"/>
        <v/>
      </c>
      <c r="U70" s="539">
        <f t="shared" si="6"/>
        <v>0</v>
      </c>
      <c r="V70" s="954"/>
      <c r="W70" s="612"/>
      <c r="X70" s="917"/>
      <c r="Y70" s="512"/>
      <c r="Z70" s="908"/>
    </row>
    <row r="71" spans="1:26" ht="14.25" customHeight="1">
      <c r="B71" s="310">
        <v>4</v>
      </c>
      <c r="C71" s="401"/>
      <c r="D71" s="401"/>
      <c r="E71" s="386"/>
      <c r="F71" s="446"/>
      <c r="G71" s="290"/>
      <c r="H71" s="702"/>
      <c r="I71" s="908"/>
      <c r="J71" s="908"/>
      <c r="K71" s="291"/>
      <c r="L71" s="288">
        <v>4</v>
      </c>
      <c r="M71" s="419" t="s">
        <v>1010</v>
      </c>
      <c r="N71" s="401" t="s">
        <v>1022</v>
      </c>
      <c r="O71" s="634">
        <v>0.5</v>
      </c>
      <c r="P71" s="446">
        <v>500000</v>
      </c>
      <c r="Q71" s="290">
        <f>O71*$P$71</f>
        <v>250000</v>
      </c>
      <c r="R71" s="892"/>
      <c r="S71" s="650"/>
      <c r="T71" s="555">
        <f t="shared" si="7"/>
        <v>46265</v>
      </c>
      <c r="U71" s="539">
        <f t="shared" si="6"/>
        <v>231973.9313056689</v>
      </c>
      <c r="V71" s="954"/>
      <c r="W71" s="612">
        <f>W69</f>
        <v>46245</v>
      </c>
      <c r="X71" s="917"/>
      <c r="Y71" s="512"/>
      <c r="Z71" s="908"/>
    </row>
    <row r="72" spans="1:26" ht="14.25" customHeight="1">
      <c r="B72" s="310">
        <v>4</v>
      </c>
      <c r="C72" s="401"/>
      <c r="D72" s="401"/>
      <c r="E72" s="386"/>
      <c r="F72" s="446"/>
      <c r="G72" s="290"/>
      <c r="H72" s="702"/>
      <c r="I72" s="908"/>
      <c r="J72" s="908"/>
      <c r="K72" s="291"/>
      <c r="L72" s="288">
        <v>4</v>
      </c>
      <c r="M72" s="419" t="s">
        <v>1010</v>
      </c>
      <c r="N72" s="401" t="s">
        <v>1023</v>
      </c>
      <c r="O72" s="634">
        <v>0.5</v>
      </c>
      <c r="P72" s="446"/>
      <c r="Q72" s="290">
        <f>O72*$P$71</f>
        <v>250000</v>
      </c>
      <c r="R72" s="892"/>
      <c r="S72" s="650"/>
      <c r="T72" s="555">
        <f t="shared" si="7"/>
        <v>46203</v>
      </c>
      <c r="U72" s="539">
        <f t="shared" si="6"/>
        <v>231973.9313056689</v>
      </c>
      <c r="V72" s="954"/>
      <c r="W72" s="612">
        <f>'Project Plan'!K179</f>
        <v>46191</v>
      </c>
      <c r="X72" s="917"/>
      <c r="Y72" s="512"/>
      <c r="Z72" s="908"/>
    </row>
    <row r="73" spans="1:26" ht="14.25" customHeight="1">
      <c r="B73" s="310">
        <v>4</v>
      </c>
      <c r="C73" s="401"/>
      <c r="D73" s="401"/>
      <c r="E73" s="386"/>
      <c r="F73" s="446"/>
      <c r="G73" s="290"/>
      <c r="H73" s="702"/>
      <c r="I73" s="908"/>
      <c r="J73" s="908"/>
      <c r="K73" s="291"/>
      <c r="L73" s="288">
        <v>4</v>
      </c>
      <c r="M73" s="419" t="s">
        <v>1010</v>
      </c>
      <c r="N73" s="401"/>
      <c r="O73" s="576"/>
      <c r="P73" s="446"/>
      <c r="Q73" s="290"/>
      <c r="R73" s="892"/>
      <c r="S73" s="650"/>
      <c r="T73" s="555" t="str">
        <f t="shared" si="7"/>
        <v/>
      </c>
      <c r="U73" s="539">
        <f>(Q73/$X$56*$J$56)</f>
        <v>0</v>
      </c>
      <c r="V73" s="954"/>
      <c r="W73" s="612"/>
      <c r="X73" s="917"/>
      <c r="Y73" s="512"/>
      <c r="Z73" s="908"/>
    </row>
    <row r="74" spans="1:26" ht="14.25" customHeight="1">
      <c r="B74" s="310">
        <v>4</v>
      </c>
      <c r="C74" s="401"/>
      <c r="D74" s="401"/>
      <c r="E74" s="386"/>
      <c r="F74" s="446"/>
      <c r="G74" s="290"/>
      <c r="H74" s="702"/>
      <c r="I74" s="908"/>
      <c r="J74" s="908"/>
      <c r="K74" s="291"/>
      <c r="L74" s="288">
        <v>4</v>
      </c>
      <c r="M74" s="419" t="s">
        <v>1010</v>
      </c>
      <c r="N74" s="401" t="s">
        <v>1024</v>
      </c>
      <c r="O74" s="634">
        <v>0.5</v>
      </c>
      <c r="P74" s="446">
        <v>2400095.5</v>
      </c>
      <c r="Q74" s="290">
        <f>O74*$P$74</f>
        <v>1200047.75</v>
      </c>
      <c r="R74" s="892"/>
      <c r="S74" s="650"/>
      <c r="T74" s="555">
        <f t="shared" si="7"/>
        <v>46203</v>
      </c>
      <c r="U74" s="539">
        <f>(Q74/$X$56*$J$56)</f>
        <v>1113519.1772880901</v>
      </c>
      <c r="V74" s="954"/>
      <c r="W74" s="612">
        <f>W72</f>
        <v>46191</v>
      </c>
      <c r="X74" s="917"/>
      <c r="Y74" s="512"/>
      <c r="Z74" s="908"/>
    </row>
    <row r="75" spans="1:26" ht="14.25" customHeight="1">
      <c r="B75" s="310">
        <v>4</v>
      </c>
      <c r="C75" s="401"/>
      <c r="D75" s="401"/>
      <c r="E75" s="386"/>
      <c r="F75" s="446"/>
      <c r="G75" s="290"/>
      <c r="H75" s="702"/>
      <c r="I75" s="908"/>
      <c r="J75" s="908"/>
      <c r="K75" s="291"/>
      <c r="L75" s="288">
        <v>4</v>
      </c>
      <c r="M75" s="419" t="s">
        <v>1010</v>
      </c>
      <c r="N75" s="401" t="s">
        <v>1025</v>
      </c>
      <c r="O75" s="634">
        <v>0.5</v>
      </c>
      <c r="P75" s="446"/>
      <c r="Q75" s="290">
        <f>O75*$P$74</f>
        <v>1200047.75</v>
      </c>
      <c r="R75" s="892"/>
      <c r="S75" s="650"/>
      <c r="T75" s="555">
        <f t="shared" si="7"/>
        <v>46203</v>
      </c>
      <c r="U75" s="539">
        <f>(Q75/$X$56*$J$56)</f>
        <v>1113519.1772880901</v>
      </c>
      <c r="V75" s="954"/>
      <c r="W75" s="612">
        <f>'Project Plan'!K214+14</f>
        <v>46197</v>
      </c>
      <c r="X75" s="917"/>
      <c r="Y75" s="512"/>
      <c r="Z75" s="908"/>
    </row>
    <row r="76" spans="1:26" ht="14.25" customHeight="1">
      <c r="B76" s="310">
        <v>4</v>
      </c>
      <c r="C76" s="401"/>
      <c r="D76" s="401"/>
      <c r="E76" s="386"/>
      <c r="F76" s="446"/>
      <c r="G76" s="290"/>
      <c r="H76" s="702"/>
      <c r="I76" s="908"/>
      <c r="J76" s="908"/>
      <c r="K76" s="291"/>
      <c r="L76" s="288">
        <v>4</v>
      </c>
      <c r="M76" s="419" t="s">
        <v>1010</v>
      </c>
      <c r="N76" s="401"/>
      <c r="O76" s="386"/>
      <c r="P76" s="446"/>
      <c r="Q76" s="290"/>
      <c r="R76" s="892"/>
      <c r="S76" s="650"/>
      <c r="T76" s="555" t="str">
        <f t="shared" si="7"/>
        <v/>
      </c>
      <c r="U76" s="539">
        <f>(Q76/$X$56*$J$56)</f>
        <v>0</v>
      </c>
      <c r="V76" s="954"/>
      <c r="W76" s="612"/>
      <c r="X76" s="917"/>
      <c r="Y76" s="512"/>
      <c r="Z76" s="908"/>
    </row>
    <row r="77" spans="1:26" ht="14.25" customHeight="1">
      <c r="B77" s="310">
        <v>4</v>
      </c>
      <c r="C77" s="401"/>
      <c r="D77" s="401"/>
      <c r="E77" s="386"/>
      <c r="F77" s="446"/>
      <c r="G77" s="290"/>
      <c r="H77" s="702"/>
      <c r="I77" s="908"/>
      <c r="J77" s="908"/>
      <c r="K77" s="291"/>
      <c r="L77" s="288">
        <v>4</v>
      </c>
      <c r="M77" s="419" t="s">
        <v>1010</v>
      </c>
      <c r="N77" s="401"/>
      <c r="O77" s="386"/>
      <c r="P77" s="446"/>
      <c r="Q77" s="481"/>
      <c r="R77" s="892"/>
      <c r="S77" s="650"/>
      <c r="T77" s="555" t="str">
        <f t="shared" si="7"/>
        <v/>
      </c>
      <c r="U77" s="539">
        <f t="shared" si="6"/>
        <v>0</v>
      </c>
      <c r="V77" s="954"/>
      <c r="W77" s="612"/>
      <c r="X77" s="917"/>
      <c r="Y77" s="512"/>
      <c r="Z77" s="908"/>
    </row>
    <row r="78" spans="1:26" ht="14.25" customHeight="1">
      <c r="B78" s="310">
        <v>4</v>
      </c>
      <c r="C78" s="401"/>
      <c r="D78" s="401"/>
      <c r="E78" s="386"/>
      <c r="F78" s="446"/>
      <c r="G78" s="290"/>
      <c r="H78" s="702"/>
      <c r="I78" s="908"/>
      <c r="J78" s="908"/>
      <c r="K78" s="291"/>
      <c r="L78" s="288">
        <v>4</v>
      </c>
      <c r="M78" s="419" t="s">
        <v>1010</v>
      </c>
      <c r="N78" s="401"/>
      <c r="O78" s="386"/>
      <c r="P78" s="446"/>
      <c r="Q78" s="481"/>
      <c r="R78" s="892"/>
      <c r="S78" s="650"/>
      <c r="T78" s="555" t="str">
        <f t="shared" si="7"/>
        <v/>
      </c>
      <c r="U78" s="539">
        <f t="shared" si="6"/>
        <v>0</v>
      </c>
      <c r="V78" s="954"/>
      <c r="W78" s="612"/>
      <c r="X78" s="917"/>
      <c r="Y78" s="512"/>
      <c r="Z78" s="908"/>
    </row>
    <row r="79" spans="1:26" ht="15" customHeight="1" thickBot="1">
      <c r="B79" s="292">
        <v>4</v>
      </c>
      <c r="C79" s="315"/>
      <c r="D79" s="315"/>
      <c r="E79" s="389"/>
      <c r="F79" s="448"/>
      <c r="G79" s="295"/>
      <c r="H79" s="703"/>
      <c r="I79" s="909"/>
      <c r="J79" s="909"/>
      <c r="K79" s="296"/>
      <c r="L79" s="292">
        <v>4</v>
      </c>
      <c r="M79" s="420" t="s">
        <v>1010</v>
      </c>
      <c r="N79" s="315"/>
      <c r="O79" s="389"/>
      <c r="P79" s="448"/>
      <c r="Q79" s="482"/>
      <c r="R79" s="893"/>
      <c r="S79" s="651"/>
      <c r="T79" s="556" t="str">
        <f t="shared" si="7"/>
        <v/>
      </c>
      <c r="U79" s="540">
        <f t="shared" si="6"/>
        <v>0</v>
      </c>
      <c r="V79" s="955"/>
      <c r="W79" s="613"/>
      <c r="X79" s="918"/>
      <c r="Y79" s="510"/>
      <c r="Z79" s="909"/>
    </row>
    <row r="80" spans="1:26" ht="14.5" thickBot="1">
      <c r="A80" s="24"/>
      <c r="B80" s="266"/>
      <c r="C80" s="267"/>
      <c r="D80" s="298"/>
      <c r="E80" s="281"/>
      <c r="F80" s="449"/>
      <c r="G80" s="282"/>
      <c r="H80" s="700"/>
      <c r="I80" s="270"/>
      <c r="J80" s="270"/>
      <c r="K80" s="24"/>
      <c r="L80" s="266"/>
      <c r="M80" s="267"/>
      <c r="N80" s="267"/>
      <c r="O80" s="281"/>
      <c r="P80" s="449"/>
      <c r="Q80" s="483"/>
      <c r="R80" s="897"/>
      <c r="S80" s="654"/>
      <c r="T80" s="553" t="str">
        <f t="shared" si="7"/>
        <v/>
      </c>
      <c r="U80" s="543"/>
      <c r="V80" s="524"/>
      <c r="W80" s="610"/>
      <c r="X80" s="340"/>
      <c r="Y80" s="508"/>
      <c r="Z80" s="270"/>
    </row>
    <row r="81" spans="1:26" ht="14.25" customHeight="1">
      <c r="B81" s="271">
        <v>5</v>
      </c>
      <c r="C81" s="299" t="s">
        <v>1026</v>
      </c>
      <c r="D81" s="317" t="s">
        <v>1027</v>
      </c>
      <c r="E81" s="273">
        <v>1</v>
      </c>
      <c r="F81" s="430">
        <v>500000</v>
      </c>
      <c r="G81" s="274">
        <f>E81*F81</f>
        <v>500000</v>
      </c>
      <c r="H81" s="701">
        <v>45869</v>
      </c>
      <c r="I81" s="913">
        <f>SUM(G81:G95)</f>
        <v>3974000</v>
      </c>
      <c r="J81" s="913">
        <v>4205291.0052910103</v>
      </c>
      <c r="K81" s="275"/>
      <c r="L81" s="271">
        <v>5</v>
      </c>
      <c r="M81" s="415" t="s">
        <v>1028</v>
      </c>
      <c r="N81" s="317" t="s">
        <v>1027</v>
      </c>
      <c r="O81" s="571">
        <v>1</v>
      </c>
      <c r="P81" s="430">
        <v>500000</v>
      </c>
      <c r="Q81" s="274">
        <f>O81*P81</f>
        <v>500000</v>
      </c>
      <c r="R81" s="873"/>
      <c r="S81" s="653"/>
      <c r="T81" s="557">
        <f t="shared" si="7"/>
        <v>46173</v>
      </c>
      <c r="U81" s="542">
        <f t="shared" ref="U81:U94" si="8">(Q81/$X$81*$J$81)</f>
        <v>580200.19388672884</v>
      </c>
      <c r="V81" s="925">
        <f>J81-SUM(U81:U95)</f>
        <v>0</v>
      </c>
      <c r="W81" s="614">
        <v>46173</v>
      </c>
      <c r="X81" s="910">
        <f>SUM(Q81:Q95)</f>
        <v>3624000</v>
      </c>
      <c r="Y81" s="511"/>
      <c r="Z81" s="913">
        <f>I81-X81</f>
        <v>350000</v>
      </c>
    </row>
    <row r="82" spans="1:26" ht="14.25" customHeight="1">
      <c r="B82" s="276">
        <v>5</v>
      </c>
      <c r="C82" s="300"/>
      <c r="D82" s="277" t="s">
        <v>1029</v>
      </c>
      <c r="E82" s="444">
        <v>2</v>
      </c>
      <c r="F82" s="445">
        <v>612000</v>
      </c>
      <c r="G82" s="305">
        <f>E82*F82</f>
        <v>1224000</v>
      </c>
      <c r="H82" s="693">
        <v>45869</v>
      </c>
      <c r="I82" s="914"/>
      <c r="J82" s="914"/>
      <c r="K82" s="278"/>
      <c r="L82" s="276">
        <v>5</v>
      </c>
      <c r="M82" s="421" t="s">
        <v>1028</v>
      </c>
      <c r="N82" s="277"/>
      <c r="O82" s="577"/>
      <c r="P82" s="445"/>
      <c r="Q82" s="305"/>
      <c r="R82" s="888"/>
      <c r="S82" s="645"/>
      <c r="T82" s="550" t="str">
        <f t="shared" si="7"/>
        <v/>
      </c>
      <c r="U82" s="542">
        <f t="shared" si="8"/>
        <v>0</v>
      </c>
      <c r="V82" s="926"/>
      <c r="W82" s="607"/>
      <c r="X82" s="911"/>
      <c r="Y82" s="507"/>
      <c r="Z82" s="914"/>
    </row>
    <row r="83" spans="1:26" ht="14.25" customHeight="1">
      <c r="B83" s="276">
        <v>5</v>
      </c>
      <c r="C83" s="300"/>
      <c r="D83" s="303" t="s">
        <v>1030</v>
      </c>
      <c r="E83" s="304">
        <v>1</v>
      </c>
      <c r="F83" s="452">
        <v>1750000</v>
      </c>
      <c r="G83" s="305">
        <f>E83*F83</f>
        <v>1750000</v>
      </c>
      <c r="H83" s="693">
        <v>45869</v>
      </c>
      <c r="I83" s="914"/>
      <c r="J83" s="914"/>
      <c r="K83" s="278"/>
      <c r="L83" s="276">
        <v>5</v>
      </c>
      <c r="M83" s="421" t="s">
        <v>1028</v>
      </c>
      <c r="N83" s="303"/>
      <c r="O83" s="572"/>
      <c r="P83" s="452"/>
      <c r="Q83" s="305"/>
      <c r="R83" s="888"/>
      <c r="S83" s="645"/>
      <c r="T83" s="550" t="str">
        <f t="shared" si="7"/>
        <v/>
      </c>
      <c r="U83" s="542">
        <f t="shared" si="8"/>
        <v>0</v>
      </c>
      <c r="V83" s="926"/>
      <c r="W83" s="607"/>
      <c r="X83" s="911"/>
      <c r="Y83" s="507"/>
      <c r="Z83" s="914"/>
    </row>
    <row r="84" spans="1:26" ht="14.25" customHeight="1">
      <c r="B84" s="301">
        <v>5</v>
      </c>
      <c r="C84" s="302"/>
      <c r="D84" s="303" t="s">
        <v>1031</v>
      </c>
      <c r="E84" s="304">
        <v>2</v>
      </c>
      <c r="F84" s="452">
        <v>250000</v>
      </c>
      <c r="G84" s="305">
        <f>E84*F84</f>
        <v>500000</v>
      </c>
      <c r="H84" s="693">
        <v>45869</v>
      </c>
      <c r="I84" s="914"/>
      <c r="J84" s="914"/>
      <c r="K84" s="278"/>
      <c r="L84" s="301">
        <v>5</v>
      </c>
      <c r="M84" s="421" t="s">
        <v>1028</v>
      </c>
      <c r="N84" s="303" t="s">
        <v>1032</v>
      </c>
      <c r="O84" s="572">
        <v>2</v>
      </c>
      <c r="P84" s="452">
        <v>612000</v>
      </c>
      <c r="Q84" s="305">
        <f>O84*P84</f>
        <v>1224000</v>
      </c>
      <c r="R84" s="888"/>
      <c r="S84" s="645"/>
      <c r="T84" s="550">
        <f t="shared" si="7"/>
        <v>46173</v>
      </c>
      <c r="U84" s="542">
        <f t="shared" si="8"/>
        <v>1420330.0746347122</v>
      </c>
      <c r="V84" s="926"/>
      <c r="W84" s="607">
        <f>W81</f>
        <v>46173</v>
      </c>
      <c r="X84" s="911"/>
      <c r="Y84" s="507"/>
      <c r="Z84" s="914"/>
    </row>
    <row r="85" spans="1:26" ht="14.25" customHeight="1">
      <c r="B85" s="375">
        <v>5</v>
      </c>
      <c r="C85" s="376"/>
      <c r="D85" s="379"/>
      <c r="E85" s="399"/>
      <c r="F85" s="437"/>
      <c r="G85" s="378"/>
      <c r="H85" s="694"/>
      <c r="I85" s="914"/>
      <c r="J85" s="914"/>
      <c r="K85" s="278"/>
      <c r="L85" s="301">
        <v>5</v>
      </c>
      <c r="M85" s="421" t="s">
        <v>1028</v>
      </c>
      <c r="N85" s="379"/>
      <c r="O85" s="573"/>
      <c r="P85" s="437"/>
      <c r="Q85" s="378"/>
      <c r="R85" s="887"/>
      <c r="S85" s="646"/>
      <c r="T85" s="551" t="str">
        <f t="shared" si="7"/>
        <v/>
      </c>
      <c r="U85" s="542">
        <f t="shared" si="8"/>
        <v>0</v>
      </c>
      <c r="V85" s="926"/>
      <c r="W85" s="608"/>
      <c r="X85" s="911"/>
      <c r="Y85" s="507"/>
      <c r="Z85" s="914"/>
    </row>
    <row r="86" spans="1:26" ht="14.25" customHeight="1">
      <c r="B86" s="375">
        <v>5</v>
      </c>
      <c r="C86" s="376"/>
      <c r="D86" s="379"/>
      <c r="E86" s="399"/>
      <c r="F86" s="437"/>
      <c r="G86" s="378"/>
      <c r="H86" s="694"/>
      <c r="I86" s="914"/>
      <c r="J86" s="914"/>
      <c r="K86" s="278"/>
      <c r="L86" s="301">
        <v>5</v>
      </c>
      <c r="M86" s="421" t="s">
        <v>1028</v>
      </c>
      <c r="N86" s="379"/>
      <c r="O86" s="573"/>
      <c r="P86" s="437"/>
      <c r="Q86" s="378"/>
      <c r="R86" s="887"/>
      <c r="S86" s="646"/>
      <c r="T86" s="551" t="str">
        <f t="shared" si="7"/>
        <v/>
      </c>
      <c r="U86" s="542">
        <f t="shared" si="8"/>
        <v>0</v>
      </c>
      <c r="V86" s="926"/>
      <c r="W86" s="608"/>
      <c r="X86" s="911"/>
      <c r="Y86" s="507"/>
      <c r="Z86" s="914"/>
    </row>
    <row r="87" spans="1:26" ht="14.25" customHeight="1">
      <c r="B87" s="375">
        <v>5</v>
      </c>
      <c r="C87" s="376"/>
      <c r="D87" s="379"/>
      <c r="E87" s="399"/>
      <c r="F87" s="437"/>
      <c r="G87" s="378"/>
      <c r="H87" s="694"/>
      <c r="I87" s="914"/>
      <c r="J87" s="914"/>
      <c r="K87" s="278"/>
      <c r="L87" s="301">
        <v>5</v>
      </c>
      <c r="M87" s="421" t="s">
        <v>1028</v>
      </c>
      <c r="N87" s="303" t="s">
        <v>1030</v>
      </c>
      <c r="O87" s="572">
        <v>1</v>
      </c>
      <c r="P87" s="452">
        <v>1050000</v>
      </c>
      <c r="Q87" s="305">
        <f>O87*P87</f>
        <v>1050000</v>
      </c>
      <c r="R87" s="887"/>
      <c r="S87" s="646"/>
      <c r="T87" s="551">
        <f t="shared" si="7"/>
        <v>46173</v>
      </c>
      <c r="U87" s="542">
        <f t="shared" si="8"/>
        <v>1218420.4071621303</v>
      </c>
      <c r="V87" s="926"/>
      <c r="W87" s="608">
        <f>W81</f>
        <v>46173</v>
      </c>
      <c r="X87" s="911"/>
      <c r="Y87" s="507"/>
      <c r="Z87" s="914"/>
    </row>
    <row r="88" spans="1:26" ht="14.25" customHeight="1">
      <c r="B88" s="375">
        <v>5</v>
      </c>
      <c r="C88" s="376"/>
      <c r="D88" s="379"/>
      <c r="E88" s="399"/>
      <c r="F88" s="437"/>
      <c r="G88" s="378"/>
      <c r="H88" s="694"/>
      <c r="I88" s="914"/>
      <c r="J88" s="914"/>
      <c r="K88" s="278"/>
      <c r="L88" s="301">
        <v>5</v>
      </c>
      <c r="M88" s="421" t="s">
        <v>1028</v>
      </c>
      <c r="N88" s="379"/>
      <c r="O88" s="573"/>
      <c r="P88" s="437"/>
      <c r="Q88" s="378"/>
      <c r="R88" s="887"/>
      <c r="S88" s="646"/>
      <c r="T88" s="551" t="str">
        <f t="shared" si="7"/>
        <v/>
      </c>
      <c r="U88" s="542">
        <f t="shared" si="8"/>
        <v>0</v>
      </c>
      <c r="V88" s="926"/>
      <c r="W88" s="608"/>
      <c r="X88" s="911"/>
      <c r="Y88" s="507"/>
      <c r="Z88" s="914"/>
    </row>
    <row r="89" spans="1:26" ht="14.25" customHeight="1">
      <c r="B89" s="375"/>
      <c r="C89" s="376"/>
      <c r="D89" s="379"/>
      <c r="E89" s="399"/>
      <c r="F89" s="437"/>
      <c r="G89" s="378"/>
      <c r="H89" s="694"/>
      <c r="I89" s="914"/>
      <c r="J89" s="914"/>
      <c r="K89" s="278"/>
      <c r="L89" s="301">
        <v>5</v>
      </c>
      <c r="M89" s="421" t="s">
        <v>1028</v>
      </c>
      <c r="N89" s="379" t="s">
        <v>1033</v>
      </c>
      <c r="O89" s="573"/>
      <c r="P89" s="437"/>
      <c r="Q89" s="378">
        <v>350000</v>
      </c>
      <c r="R89" s="887"/>
      <c r="S89" s="646"/>
      <c r="T89" s="551">
        <v>46173</v>
      </c>
      <c r="U89" s="542">
        <f t="shared" si="8"/>
        <v>406140.13572071015</v>
      </c>
      <c r="V89" s="926"/>
      <c r="W89" s="608">
        <f>T89</f>
        <v>46173</v>
      </c>
      <c r="X89" s="911"/>
      <c r="Y89" s="507"/>
      <c r="Z89" s="914"/>
    </row>
    <row r="90" spans="1:26" ht="14.25" customHeight="1">
      <c r="B90" s="375"/>
      <c r="C90" s="376"/>
      <c r="D90" s="379"/>
      <c r="E90" s="399"/>
      <c r="F90" s="437"/>
      <c r="G90" s="378"/>
      <c r="H90" s="694"/>
      <c r="I90" s="914"/>
      <c r="J90" s="914"/>
      <c r="K90" s="278"/>
      <c r="L90" s="301">
        <v>5</v>
      </c>
      <c r="M90" s="421" t="s">
        <v>1028</v>
      </c>
      <c r="N90" s="379"/>
      <c r="O90" s="573"/>
      <c r="P90" s="437"/>
      <c r="Q90" s="378"/>
      <c r="R90" s="887"/>
      <c r="S90" s="646"/>
      <c r="T90" s="551"/>
      <c r="U90" s="542">
        <f t="shared" si="8"/>
        <v>0</v>
      </c>
      <c r="V90" s="926"/>
      <c r="W90" s="608"/>
      <c r="X90" s="911"/>
      <c r="Y90" s="507"/>
      <c r="Z90" s="914"/>
    </row>
    <row r="91" spans="1:26" ht="14.25" customHeight="1">
      <c r="B91" s="375">
        <v>5</v>
      </c>
      <c r="C91" s="376"/>
      <c r="D91" s="379"/>
      <c r="E91" s="399"/>
      <c r="F91" s="437"/>
      <c r="G91" s="378"/>
      <c r="H91" s="694"/>
      <c r="I91" s="914"/>
      <c r="J91" s="914"/>
      <c r="K91" s="278"/>
      <c r="L91" s="301">
        <v>5</v>
      </c>
      <c r="M91" s="421" t="s">
        <v>1028</v>
      </c>
      <c r="N91" s="379"/>
      <c r="O91" s="573"/>
      <c r="P91" s="437"/>
      <c r="Q91" s="378"/>
      <c r="R91" s="887"/>
      <c r="S91" s="646"/>
      <c r="T91" s="551" t="str">
        <f t="shared" si="7"/>
        <v/>
      </c>
      <c r="U91" s="542">
        <f t="shared" si="8"/>
        <v>0</v>
      </c>
      <c r="V91" s="926"/>
      <c r="W91" s="608"/>
      <c r="X91" s="911"/>
      <c r="Y91" s="507"/>
      <c r="Z91" s="914"/>
    </row>
    <row r="92" spans="1:26" ht="14.25" customHeight="1">
      <c r="B92" s="375">
        <v>5</v>
      </c>
      <c r="C92" s="376"/>
      <c r="D92" s="379"/>
      <c r="E92" s="399"/>
      <c r="F92" s="437"/>
      <c r="G92" s="378"/>
      <c r="H92" s="694"/>
      <c r="I92" s="914"/>
      <c r="J92" s="914"/>
      <c r="K92" s="278"/>
      <c r="L92" s="301">
        <v>5</v>
      </c>
      <c r="M92" s="421" t="s">
        <v>1028</v>
      </c>
      <c r="N92" s="303" t="s">
        <v>1031</v>
      </c>
      <c r="O92" s="572">
        <v>2</v>
      </c>
      <c r="P92" s="452">
        <v>250000</v>
      </c>
      <c r="Q92" s="305">
        <f>O92*P92</f>
        <v>500000</v>
      </c>
      <c r="R92" s="887"/>
      <c r="S92" s="646"/>
      <c r="T92" s="551">
        <f t="shared" si="7"/>
        <v>46173</v>
      </c>
      <c r="U92" s="542">
        <f t="shared" si="8"/>
        <v>580200.19388672884</v>
      </c>
      <c r="V92" s="926"/>
      <c r="W92" s="608">
        <f>W81</f>
        <v>46173</v>
      </c>
      <c r="X92" s="911"/>
      <c r="Y92" s="507"/>
      <c r="Z92" s="914"/>
    </row>
    <row r="93" spans="1:26" ht="14.25" customHeight="1">
      <c r="B93" s="375">
        <v>5</v>
      </c>
      <c r="C93" s="376"/>
      <c r="D93" s="379"/>
      <c r="E93" s="399"/>
      <c r="F93" s="437"/>
      <c r="G93" s="378"/>
      <c r="H93" s="694"/>
      <c r="I93" s="914"/>
      <c r="J93" s="914"/>
      <c r="K93" s="278"/>
      <c r="L93" s="301">
        <v>5</v>
      </c>
      <c r="M93" s="421" t="s">
        <v>1028</v>
      </c>
      <c r="N93" s="379"/>
      <c r="O93" s="399"/>
      <c r="P93" s="437"/>
      <c r="Q93" s="485"/>
      <c r="R93" s="887"/>
      <c r="S93" s="646"/>
      <c r="T93" s="551" t="str">
        <f t="shared" si="7"/>
        <v/>
      </c>
      <c r="U93" s="542">
        <f t="shared" si="8"/>
        <v>0</v>
      </c>
      <c r="V93" s="926"/>
      <c r="W93" s="608"/>
      <c r="X93" s="911"/>
      <c r="Y93" s="507"/>
      <c r="Z93" s="914"/>
    </row>
    <row r="94" spans="1:26" ht="14.25" customHeight="1">
      <c r="B94" s="375">
        <v>5</v>
      </c>
      <c r="C94" s="376"/>
      <c r="D94" s="379"/>
      <c r="E94" s="399"/>
      <c r="F94" s="437"/>
      <c r="G94" s="378"/>
      <c r="H94" s="694"/>
      <c r="I94" s="914"/>
      <c r="J94" s="914"/>
      <c r="K94" s="278"/>
      <c r="L94" s="301">
        <v>5</v>
      </c>
      <c r="M94" s="421" t="s">
        <v>1028</v>
      </c>
      <c r="N94" s="379"/>
      <c r="O94" s="399"/>
      <c r="P94" s="437"/>
      <c r="Q94" s="485"/>
      <c r="R94" s="887"/>
      <c r="S94" s="646"/>
      <c r="T94" s="551" t="str">
        <f t="shared" si="7"/>
        <v/>
      </c>
      <c r="U94" s="542">
        <f t="shared" si="8"/>
        <v>0</v>
      </c>
      <c r="V94" s="926"/>
      <c r="W94" s="608"/>
      <c r="X94" s="911"/>
      <c r="Y94" s="507"/>
      <c r="Z94" s="914"/>
    </row>
    <row r="95" spans="1:26" ht="15" customHeight="1" thickBot="1">
      <c r="B95" s="306">
        <v>5</v>
      </c>
      <c r="C95" s="327"/>
      <c r="D95" s="307"/>
      <c r="E95" s="308"/>
      <c r="F95" s="453"/>
      <c r="G95" s="320"/>
      <c r="H95" s="695"/>
      <c r="I95" s="915"/>
      <c r="J95" s="915"/>
      <c r="K95" s="279"/>
      <c r="L95" s="306">
        <v>5</v>
      </c>
      <c r="M95" s="417" t="s">
        <v>1028</v>
      </c>
      <c r="N95" s="307"/>
      <c r="O95" s="308"/>
      <c r="P95" s="453"/>
      <c r="Q95" s="476"/>
      <c r="R95" s="895"/>
      <c r="S95" s="647"/>
      <c r="T95" s="552" t="str">
        <f t="shared" si="7"/>
        <v/>
      </c>
      <c r="U95" s="536"/>
      <c r="V95" s="927"/>
      <c r="W95" s="609"/>
      <c r="X95" s="912"/>
      <c r="Y95" s="470"/>
      <c r="Z95" s="915"/>
    </row>
    <row r="96" spans="1:26" ht="14.5" thickBot="1">
      <c r="A96" s="24"/>
      <c r="B96" s="280"/>
      <c r="C96" s="297"/>
      <c r="D96" s="268"/>
      <c r="E96" s="281"/>
      <c r="F96" s="449"/>
      <c r="G96" s="282"/>
      <c r="H96" s="700"/>
      <c r="I96" s="316"/>
      <c r="J96" s="316"/>
      <c r="K96" s="24"/>
      <c r="L96" s="280"/>
      <c r="M96" s="297"/>
      <c r="N96" s="268"/>
      <c r="O96" s="281"/>
      <c r="P96" s="449"/>
      <c r="Q96" s="479"/>
      <c r="R96" s="894"/>
      <c r="S96" s="652"/>
      <c r="T96" s="553" t="str">
        <f>IF(W96&gt;1,EOMONTH(W96,0),"")</f>
        <v/>
      </c>
      <c r="U96" s="541"/>
      <c r="V96" s="521"/>
      <c r="W96" s="610"/>
      <c r="X96" s="497"/>
      <c r="Y96" s="508"/>
      <c r="Z96" s="316"/>
    </row>
    <row r="97" spans="2:29" ht="14.25" customHeight="1">
      <c r="B97" s="283">
        <v>6</v>
      </c>
      <c r="C97" s="284" t="s">
        <v>1034</v>
      </c>
      <c r="D97" s="285" t="s">
        <v>1035</v>
      </c>
      <c r="E97" s="472">
        <v>2</v>
      </c>
      <c r="F97" s="450">
        <v>4500000</v>
      </c>
      <c r="G97" s="286">
        <v>9000000</v>
      </c>
      <c r="H97" s="697">
        <v>45961</v>
      </c>
      <c r="I97" s="907">
        <f>SUM(G97:G136)</f>
        <v>19087347.826086957</v>
      </c>
      <c r="J97" s="907">
        <v>20198251.6678169</v>
      </c>
      <c r="K97" s="287"/>
      <c r="L97" s="283">
        <v>6</v>
      </c>
      <c r="M97" s="424" t="s">
        <v>1036</v>
      </c>
      <c r="N97" s="285"/>
      <c r="O97" s="586"/>
      <c r="P97" s="450"/>
      <c r="Q97" s="286"/>
      <c r="R97" s="896"/>
      <c r="S97" s="649"/>
      <c r="T97" s="554" t="str">
        <f>IF(W97&gt;1,EOMONTH(W97,2),"")</f>
        <v/>
      </c>
      <c r="U97" s="538"/>
      <c r="V97" s="953">
        <f>J97-SUM(U97:U136)</f>
        <v>0</v>
      </c>
      <c r="W97" s="611"/>
      <c r="X97" s="916">
        <f>SUM(Q97:Q136)</f>
        <v>25725847.106086958</v>
      </c>
      <c r="Y97" s="509"/>
      <c r="Z97" s="907">
        <f>I97-X97</f>
        <v>-6638499.2800000012</v>
      </c>
    </row>
    <row r="98" spans="2:29" ht="14.25" customHeight="1">
      <c r="B98" s="288">
        <v>6</v>
      </c>
      <c r="C98" s="401"/>
      <c r="D98" s="436" t="s">
        <v>1037</v>
      </c>
      <c r="E98" s="386">
        <v>1</v>
      </c>
      <c r="F98" s="446">
        <v>1500000</v>
      </c>
      <c r="G98" s="311">
        <v>1500000</v>
      </c>
      <c r="H98" s="704">
        <v>45961</v>
      </c>
      <c r="I98" s="908"/>
      <c r="J98" s="908"/>
      <c r="K98" s="291"/>
      <c r="L98" s="288">
        <v>6</v>
      </c>
      <c r="M98" s="422" t="s">
        <v>1036</v>
      </c>
      <c r="N98" s="436"/>
      <c r="O98" s="576"/>
      <c r="P98" s="446"/>
      <c r="Q98" s="311"/>
      <c r="R98" s="892"/>
      <c r="S98" s="650"/>
      <c r="T98" s="555" t="str">
        <f>IF(W98&gt;1,EOMONTH(W98,2),"")</f>
        <v/>
      </c>
      <c r="U98" s="539"/>
      <c r="V98" s="954"/>
      <c r="W98" s="612"/>
      <c r="X98" s="917"/>
      <c r="Y98" s="512"/>
      <c r="Z98" s="908"/>
    </row>
    <row r="99" spans="2:29" ht="14.25" customHeight="1">
      <c r="B99" s="288"/>
      <c r="C99" s="401"/>
      <c r="D99" s="436"/>
      <c r="E99" s="386"/>
      <c r="F99" s="446"/>
      <c r="G99" s="311"/>
      <c r="H99" s="704"/>
      <c r="I99" s="908"/>
      <c r="J99" s="908"/>
      <c r="K99" s="291"/>
      <c r="L99" s="288">
        <v>6</v>
      </c>
      <c r="M99" s="422" t="s">
        <v>1036</v>
      </c>
      <c r="N99" s="436" t="s">
        <v>1038</v>
      </c>
      <c r="O99" s="576">
        <v>3</v>
      </c>
      <c r="P99" s="446">
        <f>2780642.94</f>
        <v>2780642.94</v>
      </c>
      <c r="Q99" s="311">
        <f>O99*P99*0.05</f>
        <v>417096.44100000005</v>
      </c>
      <c r="R99" s="931" t="s">
        <v>979</v>
      </c>
      <c r="S99" s="650" t="s">
        <v>980</v>
      </c>
      <c r="T99" s="555">
        <v>46081</v>
      </c>
      <c r="U99" s="539">
        <f t="shared" ref="U99:U135" si="9">(Q99/$X$97*$J$97)</f>
        <v>327476.83099910076</v>
      </c>
      <c r="V99" s="954"/>
      <c r="W99" s="569">
        <v>46051</v>
      </c>
      <c r="X99" s="917"/>
      <c r="Y99" s="512"/>
      <c r="Z99" s="908"/>
    </row>
    <row r="100" spans="2:29" ht="14.25" customHeight="1">
      <c r="B100" s="288"/>
      <c r="C100" s="401"/>
      <c r="D100" s="436"/>
      <c r="E100" s="386"/>
      <c r="F100" s="446"/>
      <c r="G100" s="311"/>
      <c r="H100" s="704"/>
      <c r="I100" s="908"/>
      <c r="J100" s="908"/>
      <c r="K100" s="291"/>
      <c r="L100" s="288">
        <v>6</v>
      </c>
      <c r="M100" s="422" t="s">
        <v>1036</v>
      </c>
      <c r="N100" s="436" t="s">
        <v>1039</v>
      </c>
      <c r="O100" s="576"/>
      <c r="P100" s="446"/>
      <c r="Q100" s="311">
        <f>O99*P99*0.25</f>
        <v>2085482.2050000001</v>
      </c>
      <c r="R100" s="949"/>
      <c r="S100" s="650" t="s">
        <v>980</v>
      </c>
      <c r="T100" s="555">
        <v>46142</v>
      </c>
      <c r="U100" s="539">
        <f t="shared" si="9"/>
        <v>1637384.1549955036</v>
      </c>
      <c r="V100" s="954"/>
      <c r="W100" s="569">
        <v>46070</v>
      </c>
      <c r="X100" s="917"/>
      <c r="Y100" s="512"/>
      <c r="Z100" s="908"/>
    </row>
    <row r="101" spans="2:29" ht="14.25" customHeight="1">
      <c r="B101" s="288"/>
      <c r="C101" s="401"/>
      <c r="D101" s="436"/>
      <c r="E101" s="386"/>
      <c r="F101" s="446"/>
      <c r="G101" s="311"/>
      <c r="H101" s="704"/>
      <c r="I101" s="908"/>
      <c r="J101" s="908"/>
      <c r="K101" s="291"/>
      <c r="L101" s="288">
        <v>6</v>
      </c>
      <c r="M101" s="422" t="s">
        <v>1036</v>
      </c>
      <c r="N101" s="436" t="s">
        <v>1040</v>
      </c>
      <c r="O101" s="576"/>
      <c r="P101" s="751"/>
      <c r="Q101" s="311">
        <f>O99*P99*0.7</f>
        <v>5839350.1739999996</v>
      </c>
      <c r="R101" s="949"/>
      <c r="S101" s="650" t="s">
        <v>980</v>
      </c>
      <c r="T101" s="555">
        <v>46173</v>
      </c>
      <c r="U101" s="539">
        <f t="shared" si="9"/>
        <v>4584675.63398741</v>
      </c>
      <c r="V101" s="954"/>
      <c r="W101" s="612">
        <f>'Project Plan'!M118</f>
        <v>46198</v>
      </c>
      <c r="X101" s="917"/>
      <c r="Y101" s="512"/>
      <c r="Z101" s="908"/>
    </row>
    <row r="102" spans="2:29" ht="14.25" customHeight="1">
      <c r="B102" s="288"/>
      <c r="C102" s="401"/>
      <c r="D102" s="436"/>
      <c r="E102" s="386"/>
      <c r="F102" s="446"/>
      <c r="G102" s="311"/>
      <c r="H102" s="704"/>
      <c r="I102" s="908"/>
      <c r="J102" s="908"/>
      <c r="K102" s="291"/>
      <c r="L102" s="288">
        <v>7</v>
      </c>
      <c r="M102" s="422" t="s">
        <v>1036</v>
      </c>
      <c r="N102" s="436"/>
      <c r="O102" s="576"/>
      <c r="P102" s="751"/>
      <c r="Q102" s="311"/>
      <c r="R102" s="949"/>
      <c r="S102" s="650"/>
      <c r="T102" s="555"/>
      <c r="U102" s="539"/>
      <c r="V102" s="954"/>
      <c r="W102" s="612"/>
      <c r="X102" s="917"/>
      <c r="Y102" s="512"/>
      <c r="Z102" s="908"/>
    </row>
    <row r="103" spans="2:29" ht="14.25" customHeight="1">
      <c r="B103" s="288"/>
      <c r="C103" s="401"/>
      <c r="D103" s="436"/>
      <c r="E103" s="386"/>
      <c r="F103" s="446"/>
      <c r="G103" s="311"/>
      <c r="H103" s="704"/>
      <c r="I103" s="908"/>
      <c r="J103" s="908"/>
      <c r="K103" s="291"/>
      <c r="L103" s="288">
        <v>6</v>
      </c>
      <c r="M103" s="422" t="s">
        <v>1036</v>
      </c>
      <c r="N103" s="436"/>
      <c r="O103" s="576"/>
      <c r="P103" s="751"/>
      <c r="Q103" s="311"/>
      <c r="R103" s="949"/>
      <c r="S103" s="650"/>
      <c r="T103" s="555"/>
      <c r="U103" s="539"/>
      <c r="V103" s="954"/>
      <c r="W103" s="612"/>
      <c r="X103" s="917"/>
      <c r="Y103" s="512"/>
      <c r="Z103" s="908"/>
      <c r="AC103" s="820">
        <f>-145888.08*1.2</f>
        <v>-175065.69599999997</v>
      </c>
    </row>
    <row r="104" spans="2:29" ht="14.25" customHeight="1">
      <c r="B104" s="288"/>
      <c r="C104" s="401"/>
      <c r="D104" s="436"/>
      <c r="E104" s="386"/>
      <c r="F104" s="446"/>
      <c r="G104" s="311"/>
      <c r="H104" s="704"/>
      <c r="I104" s="908"/>
      <c r="J104" s="908"/>
      <c r="K104" s="291"/>
      <c r="L104" s="288">
        <v>6</v>
      </c>
      <c r="M104" s="422" t="s">
        <v>1036</v>
      </c>
      <c r="N104" s="436" t="s">
        <v>1041</v>
      </c>
      <c r="O104" s="576"/>
      <c r="P104" s="446">
        <f>8451084.28-SUM(Q99:Q101)</f>
        <v>109155.45999999903</v>
      </c>
      <c r="Q104" s="311">
        <f>P104*0.05</f>
        <v>5457.7729999999519</v>
      </c>
      <c r="R104" s="949"/>
      <c r="S104" s="650" t="s">
        <v>980</v>
      </c>
      <c r="T104" s="555">
        <v>46081</v>
      </c>
      <c r="U104" s="539">
        <f t="shared" si="9"/>
        <v>4285.0862070828343</v>
      </c>
      <c r="V104" s="954"/>
      <c r="W104" s="569">
        <f>W99</f>
        <v>46051</v>
      </c>
      <c r="X104" s="917"/>
      <c r="Y104" s="512"/>
      <c r="Z104" s="908"/>
      <c r="AC104" s="820">
        <f>(5090*620*2.7)-(5090*620*3.1)</f>
        <v>-1262320</v>
      </c>
    </row>
    <row r="105" spans="2:29" ht="14.25" customHeight="1">
      <c r="B105" s="288"/>
      <c r="C105" s="401"/>
      <c r="D105" s="436"/>
      <c r="E105" s="386"/>
      <c r="F105" s="446"/>
      <c r="G105" s="311"/>
      <c r="H105" s="704"/>
      <c r="I105" s="908"/>
      <c r="J105" s="908"/>
      <c r="K105" s="291"/>
      <c r="L105" s="288">
        <v>6</v>
      </c>
      <c r="M105" s="422" t="s">
        <v>1036</v>
      </c>
      <c r="N105" s="436" t="s">
        <v>1042</v>
      </c>
      <c r="O105" s="576"/>
      <c r="P105" s="446"/>
      <c r="Q105" s="311">
        <f>P104*0.25</f>
        <v>27288.864999999758</v>
      </c>
      <c r="R105" s="949"/>
      <c r="S105" s="650" t="s">
        <v>980</v>
      </c>
      <c r="T105" s="555">
        <v>46142</v>
      </c>
      <c r="U105" s="539">
        <f t="shared" si="9"/>
        <v>21425.431035414167</v>
      </c>
      <c r="V105" s="954"/>
      <c r="W105" s="569">
        <f>W100</f>
        <v>46070</v>
      </c>
      <c r="X105" s="917"/>
      <c r="Y105" s="512"/>
      <c r="Z105" s="908"/>
      <c r="AC105" s="821">
        <v>-719462</v>
      </c>
    </row>
    <row r="106" spans="2:29" ht="14.25" customHeight="1">
      <c r="B106" s="288"/>
      <c r="C106" s="401"/>
      <c r="D106" s="436"/>
      <c r="E106" s="386"/>
      <c r="F106" s="446"/>
      <c r="G106" s="311"/>
      <c r="H106" s="704"/>
      <c r="I106" s="908"/>
      <c r="J106" s="908"/>
      <c r="K106" s="291"/>
      <c r="L106" s="288">
        <v>6</v>
      </c>
      <c r="M106" s="422" t="s">
        <v>1036</v>
      </c>
      <c r="N106" s="436" t="s">
        <v>1043</v>
      </c>
      <c r="O106" s="576"/>
      <c r="P106" s="446"/>
      <c r="Q106" s="311">
        <f>P104*0.7</f>
        <v>76408.821999999316</v>
      </c>
      <c r="R106" s="932"/>
      <c r="S106" s="650" t="s">
        <v>980</v>
      </c>
      <c r="T106" s="555">
        <v>46173</v>
      </c>
      <c r="U106" s="539">
        <f t="shared" si="9"/>
        <v>59991.206899159668</v>
      </c>
      <c r="V106" s="954"/>
      <c r="W106" s="612">
        <f>W101</f>
        <v>46198</v>
      </c>
      <c r="X106" s="917"/>
      <c r="Y106" s="512"/>
      <c r="Z106" s="908"/>
      <c r="AC106" s="820">
        <f>(295143*1.2)-(1014808*1.2)</f>
        <v>-863597.99999999988</v>
      </c>
    </row>
    <row r="107" spans="2:29" ht="14.25" customHeight="1">
      <c r="B107" s="288"/>
      <c r="C107" s="401"/>
      <c r="D107" s="436"/>
      <c r="E107" s="386"/>
      <c r="F107" s="446"/>
      <c r="G107" s="311"/>
      <c r="H107" s="704"/>
      <c r="I107" s="908"/>
      <c r="J107" s="908"/>
      <c r="K107" s="291"/>
      <c r="L107" s="288">
        <v>6</v>
      </c>
      <c r="M107" s="422" t="s">
        <v>1036</v>
      </c>
      <c r="N107" s="436"/>
      <c r="O107" s="576"/>
      <c r="P107" s="751"/>
      <c r="Q107" s="311"/>
      <c r="R107" s="892"/>
      <c r="S107" s="650"/>
      <c r="T107" s="555" t="str">
        <f t="shared" si="7"/>
        <v/>
      </c>
      <c r="U107" s="539">
        <f t="shared" si="9"/>
        <v>0</v>
      </c>
      <c r="V107" s="954"/>
      <c r="W107" s="612"/>
      <c r="X107" s="917"/>
      <c r="Y107" s="512"/>
      <c r="Z107" s="908"/>
      <c r="AC107" s="820">
        <v>2552801.14</v>
      </c>
    </row>
    <row r="108" spans="2:29" ht="14.25" customHeight="1">
      <c r="B108" s="288"/>
      <c r="C108" s="401"/>
      <c r="D108" s="436"/>
      <c r="E108" s="386"/>
      <c r="F108" s="446"/>
      <c r="G108" s="311"/>
      <c r="H108" s="704"/>
      <c r="I108" s="908"/>
      <c r="J108" s="908"/>
      <c r="K108" s="291"/>
      <c r="L108" s="288">
        <v>6</v>
      </c>
      <c r="M108" s="422" t="s">
        <v>1036</v>
      </c>
      <c r="N108" s="436" t="s">
        <v>1044</v>
      </c>
      <c r="O108" s="634">
        <v>0.2</v>
      </c>
      <c r="P108" s="446">
        <f>3097494</f>
        <v>3097494</v>
      </c>
      <c r="Q108" s="311">
        <f>$P$108*O108</f>
        <v>619498.80000000005</v>
      </c>
      <c r="R108" s="931" t="s">
        <v>1045</v>
      </c>
      <c r="S108" s="650"/>
      <c r="T108" s="555">
        <v>46081</v>
      </c>
      <c r="U108" s="539">
        <f t="shared" si="9"/>
        <v>486389.9182293567</v>
      </c>
      <c r="V108" s="954"/>
      <c r="W108" s="612">
        <v>46108</v>
      </c>
      <c r="X108" s="917"/>
      <c r="Y108" s="512"/>
      <c r="Z108" s="908"/>
      <c r="AC108" s="820" t="s">
        <v>1046</v>
      </c>
    </row>
    <row r="109" spans="2:29" ht="14.25" customHeight="1">
      <c r="B109" s="288"/>
      <c r="C109" s="401"/>
      <c r="D109" s="436"/>
      <c r="E109" s="386"/>
      <c r="F109" s="446"/>
      <c r="G109" s="311"/>
      <c r="H109" s="704"/>
      <c r="I109" s="908"/>
      <c r="J109" s="908"/>
      <c r="K109" s="291"/>
      <c r="L109" s="288">
        <v>6</v>
      </c>
      <c r="M109" s="422" t="s">
        <v>1036</v>
      </c>
      <c r="N109" s="289" t="s">
        <v>1047</v>
      </c>
      <c r="O109" s="634">
        <v>0.3</v>
      </c>
      <c r="P109" s="446"/>
      <c r="Q109" s="311">
        <f t="shared" ref="Q109:Q112" si="10">$P$108*O109</f>
        <v>929248.2</v>
      </c>
      <c r="R109" s="949"/>
      <c r="S109" s="650"/>
      <c r="T109" s="555">
        <v>46142</v>
      </c>
      <c r="U109" s="539">
        <f t="shared" si="9"/>
        <v>729584.87734403496</v>
      </c>
      <c r="V109" s="954"/>
      <c r="W109" s="612">
        <f>W108+14</f>
        <v>46122</v>
      </c>
      <c r="X109" s="917"/>
      <c r="Y109" s="512"/>
      <c r="Z109" s="908"/>
    </row>
    <row r="110" spans="2:29" ht="14.25" customHeight="1">
      <c r="B110" s="288"/>
      <c r="C110" s="401"/>
      <c r="D110" s="436"/>
      <c r="E110" s="386"/>
      <c r="F110" s="446"/>
      <c r="G110" s="311"/>
      <c r="H110" s="704"/>
      <c r="I110" s="908"/>
      <c r="J110" s="908"/>
      <c r="K110" s="291"/>
      <c r="L110" s="288">
        <v>6</v>
      </c>
      <c r="M110" s="422" t="s">
        <v>1036</v>
      </c>
      <c r="N110" s="289" t="s">
        <v>1048</v>
      </c>
      <c r="O110" s="634">
        <v>0.3</v>
      </c>
      <c r="P110" s="446"/>
      <c r="Q110" s="311">
        <f t="shared" si="10"/>
        <v>929248.2</v>
      </c>
      <c r="R110" s="949"/>
      <c r="S110" s="650"/>
      <c r="T110" s="555">
        <v>46173</v>
      </c>
      <c r="U110" s="539">
        <f t="shared" si="9"/>
        <v>729584.87734403496</v>
      </c>
      <c r="V110" s="954"/>
      <c r="W110" s="612">
        <f>W109+30</f>
        <v>46152</v>
      </c>
      <c r="X110" s="917"/>
      <c r="Y110" s="512"/>
      <c r="Z110" s="908"/>
    </row>
    <row r="111" spans="2:29" ht="14.25" customHeight="1">
      <c r="B111" s="288"/>
      <c r="C111" s="401"/>
      <c r="D111" s="436"/>
      <c r="E111" s="386"/>
      <c r="F111" s="446"/>
      <c r="G111" s="311"/>
      <c r="H111" s="704"/>
      <c r="I111" s="908"/>
      <c r="J111" s="908"/>
      <c r="K111" s="291"/>
      <c r="L111" s="288">
        <v>6</v>
      </c>
      <c r="M111" s="422" t="s">
        <v>1036</v>
      </c>
      <c r="N111" s="289" t="s">
        <v>1049</v>
      </c>
      <c r="O111" s="634">
        <v>0.1</v>
      </c>
      <c r="P111" s="446"/>
      <c r="Q111" s="311">
        <f t="shared" si="10"/>
        <v>309749.40000000002</v>
      </c>
      <c r="R111" s="949"/>
      <c r="S111" s="650"/>
      <c r="T111" s="555">
        <v>46203</v>
      </c>
      <c r="U111" s="539">
        <f t="shared" si="9"/>
        <v>243194.95911467835</v>
      </c>
      <c r="V111" s="954"/>
      <c r="W111" s="612">
        <f>W110+60</f>
        <v>46212</v>
      </c>
      <c r="X111" s="917"/>
      <c r="Y111" s="512"/>
      <c r="Z111" s="908"/>
    </row>
    <row r="112" spans="2:29" ht="14.25" customHeight="1">
      <c r="B112" s="288">
        <v>6</v>
      </c>
      <c r="C112" s="443"/>
      <c r="D112" s="289" t="s">
        <v>1050</v>
      </c>
      <c r="E112" s="391">
        <v>1</v>
      </c>
      <c r="F112" s="447">
        <v>200000</v>
      </c>
      <c r="G112" s="311">
        <v>200000</v>
      </c>
      <c r="H112" s="704">
        <v>45961</v>
      </c>
      <c r="I112" s="908"/>
      <c r="J112" s="908"/>
      <c r="K112" s="291"/>
      <c r="L112" s="288">
        <v>6</v>
      </c>
      <c r="M112" s="422" t="s">
        <v>1036</v>
      </c>
      <c r="N112" s="289" t="s">
        <v>1051</v>
      </c>
      <c r="O112" s="634">
        <v>0.1</v>
      </c>
      <c r="P112" s="447"/>
      <c r="Q112" s="311">
        <f t="shared" si="10"/>
        <v>309749.40000000002</v>
      </c>
      <c r="R112" s="932"/>
      <c r="S112" s="650"/>
      <c r="T112" s="555">
        <v>46234</v>
      </c>
      <c r="U112" s="539">
        <f t="shared" si="9"/>
        <v>243194.95911467835</v>
      </c>
      <c r="V112" s="954"/>
      <c r="W112" s="612">
        <f>W111+30</f>
        <v>46242</v>
      </c>
      <c r="X112" s="917"/>
      <c r="Y112" s="512"/>
      <c r="Z112" s="908"/>
    </row>
    <row r="113" spans="2:26" ht="14.25" customHeight="1">
      <c r="B113" s="288"/>
      <c r="C113" s="443"/>
      <c r="D113" s="289"/>
      <c r="E113" s="391"/>
      <c r="F113" s="447"/>
      <c r="G113" s="311"/>
      <c r="H113" s="704"/>
      <c r="I113" s="908"/>
      <c r="J113" s="908"/>
      <c r="K113" s="291"/>
      <c r="L113" s="288">
        <v>6</v>
      </c>
      <c r="M113" s="422" t="s">
        <v>1036</v>
      </c>
      <c r="N113" s="289"/>
      <c r="O113" s="634"/>
      <c r="P113" s="447"/>
      <c r="Q113" s="311"/>
      <c r="R113" s="892"/>
      <c r="S113" s="650"/>
      <c r="T113" s="555"/>
      <c r="U113" s="539">
        <f t="shared" si="9"/>
        <v>0</v>
      </c>
      <c r="V113" s="954"/>
      <c r="W113" s="612"/>
      <c r="X113" s="917"/>
      <c r="Y113" s="512"/>
      <c r="Z113" s="908"/>
    </row>
    <row r="114" spans="2:26" ht="14.25" customHeight="1">
      <c r="B114" s="288"/>
      <c r="C114" s="443"/>
      <c r="D114" s="289"/>
      <c r="E114" s="391"/>
      <c r="F114" s="447"/>
      <c r="G114" s="311"/>
      <c r="H114" s="704"/>
      <c r="I114" s="908"/>
      <c r="J114" s="908"/>
      <c r="K114" s="291"/>
      <c r="L114" s="288">
        <v>6</v>
      </c>
      <c r="M114" s="422" t="s">
        <v>1036</v>
      </c>
      <c r="N114" s="289" t="s">
        <v>1052</v>
      </c>
      <c r="O114" s="634">
        <v>0.3</v>
      </c>
      <c r="P114" s="447">
        <v>767277</v>
      </c>
      <c r="Q114" s="311">
        <f>P114*O114</f>
        <v>230183.1</v>
      </c>
      <c r="R114" s="931" t="s">
        <v>1053</v>
      </c>
      <c r="S114" s="650"/>
      <c r="T114" s="555">
        <v>46081</v>
      </c>
      <c r="U114" s="539">
        <f t="shared" si="9"/>
        <v>180724.70711287874</v>
      </c>
      <c r="V114" s="954"/>
      <c r="W114" s="612">
        <v>46108</v>
      </c>
      <c r="X114" s="917"/>
      <c r="Y114" s="512"/>
      <c r="Z114" s="908"/>
    </row>
    <row r="115" spans="2:26" ht="14.25" customHeight="1">
      <c r="B115" s="288"/>
      <c r="C115" s="443"/>
      <c r="D115" s="289"/>
      <c r="E115" s="391"/>
      <c r="F115" s="447"/>
      <c r="G115" s="311"/>
      <c r="H115" s="704"/>
      <c r="I115" s="908"/>
      <c r="J115" s="908"/>
      <c r="K115" s="291"/>
      <c r="L115" s="288">
        <v>6</v>
      </c>
      <c r="M115" s="422" t="s">
        <v>1036</v>
      </c>
      <c r="N115" s="289" t="s">
        <v>1054</v>
      </c>
      <c r="O115" s="634">
        <v>0.7</v>
      </c>
      <c r="P115" s="447"/>
      <c r="Q115" s="311">
        <f>P114*O115</f>
        <v>537093.9</v>
      </c>
      <c r="R115" s="932"/>
      <c r="S115" s="650"/>
      <c r="T115" s="555">
        <v>46265</v>
      </c>
      <c r="U115" s="539">
        <f t="shared" si="9"/>
        <v>421690.98326338374</v>
      </c>
      <c r="V115" s="954"/>
      <c r="W115" s="612">
        <f>T115</f>
        <v>46265</v>
      </c>
      <c r="X115" s="917"/>
      <c r="Y115" s="512"/>
      <c r="Z115" s="908"/>
    </row>
    <row r="116" spans="2:26" ht="14.25" customHeight="1">
      <c r="B116" s="288"/>
      <c r="C116" s="443"/>
      <c r="D116" s="289"/>
      <c r="E116" s="391"/>
      <c r="F116" s="447"/>
      <c r="G116" s="311"/>
      <c r="H116" s="704"/>
      <c r="I116" s="908"/>
      <c r="J116" s="908"/>
      <c r="K116" s="291"/>
      <c r="L116" s="288">
        <v>6</v>
      </c>
      <c r="M116" s="422" t="s">
        <v>1036</v>
      </c>
      <c r="N116" s="289"/>
      <c r="O116" s="634"/>
      <c r="P116" s="447"/>
      <c r="Q116" s="311"/>
      <c r="R116" s="892"/>
      <c r="S116" s="650"/>
      <c r="T116" s="555"/>
      <c r="U116" s="539">
        <f t="shared" si="9"/>
        <v>0</v>
      </c>
      <c r="V116" s="954"/>
      <c r="W116" s="612"/>
      <c r="X116" s="917"/>
      <c r="Y116" s="512"/>
      <c r="Z116" s="908"/>
    </row>
    <row r="117" spans="2:26" ht="14.25" customHeight="1">
      <c r="B117" s="288"/>
      <c r="C117" s="443"/>
      <c r="D117" s="289"/>
      <c r="E117" s="391"/>
      <c r="F117" s="447"/>
      <c r="G117" s="311"/>
      <c r="H117" s="704"/>
      <c r="I117" s="908"/>
      <c r="J117" s="908"/>
      <c r="K117" s="291"/>
      <c r="L117" s="288">
        <v>6</v>
      </c>
      <c r="M117" s="422" t="s">
        <v>1036</v>
      </c>
      <c r="N117" s="289"/>
      <c r="O117" s="634"/>
      <c r="P117" s="447"/>
      <c r="Q117" s="311"/>
      <c r="R117" s="892"/>
      <c r="S117" s="650"/>
      <c r="T117" s="555"/>
      <c r="U117" s="539">
        <f t="shared" si="9"/>
        <v>0</v>
      </c>
      <c r="V117" s="954"/>
      <c r="W117" s="612"/>
      <c r="X117" s="917"/>
      <c r="Y117" s="512"/>
      <c r="Z117" s="908"/>
    </row>
    <row r="118" spans="2:26" ht="14.25" customHeight="1">
      <c r="B118" s="288"/>
      <c r="C118" s="443"/>
      <c r="D118" s="289"/>
      <c r="E118" s="391"/>
      <c r="F118" s="447"/>
      <c r="G118" s="311"/>
      <c r="H118" s="704"/>
      <c r="I118" s="908"/>
      <c r="J118" s="908"/>
      <c r="K118" s="291"/>
      <c r="L118" s="288">
        <v>6</v>
      </c>
      <c r="M118" s="422" t="s">
        <v>1036</v>
      </c>
      <c r="N118" s="289"/>
      <c r="O118" s="634"/>
      <c r="P118" s="447"/>
      <c r="Q118" s="311"/>
      <c r="R118" s="892"/>
      <c r="S118" s="650"/>
      <c r="T118" s="555"/>
      <c r="U118" s="539">
        <f t="shared" si="9"/>
        <v>0</v>
      </c>
      <c r="V118" s="954"/>
      <c r="W118" s="612"/>
      <c r="X118" s="917"/>
      <c r="Y118" s="512"/>
      <c r="Z118" s="908"/>
    </row>
    <row r="119" spans="2:26" ht="14.25" customHeight="1">
      <c r="B119" s="288">
        <v>6</v>
      </c>
      <c r="C119" s="392"/>
      <c r="D119" s="289" t="s">
        <v>1055</v>
      </c>
      <c r="E119" s="391">
        <v>2</v>
      </c>
      <c r="F119" s="447">
        <v>3000000</v>
      </c>
      <c r="G119" s="311">
        <v>6000000</v>
      </c>
      <c r="H119" s="704">
        <v>45961</v>
      </c>
      <c r="I119" s="908"/>
      <c r="J119" s="908"/>
      <c r="K119" s="291"/>
      <c r="L119" s="288">
        <v>6</v>
      </c>
      <c r="M119" s="423" t="s">
        <v>1036</v>
      </c>
      <c r="N119" s="289"/>
      <c r="O119" s="578"/>
      <c r="P119" s="447"/>
      <c r="Q119" s="311"/>
      <c r="R119" s="892"/>
      <c r="S119" s="650"/>
      <c r="T119" s="555"/>
      <c r="U119" s="539">
        <f t="shared" si="9"/>
        <v>0</v>
      </c>
      <c r="V119" s="954"/>
      <c r="W119" s="612"/>
      <c r="X119" s="917"/>
      <c r="Y119" s="512"/>
      <c r="Z119" s="908"/>
    </row>
    <row r="120" spans="2:26" ht="14.25" customHeight="1">
      <c r="B120" s="288">
        <v>6</v>
      </c>
      <c r="C120" s="392"/>
      <c r="D120" s="289" t="s">
        <v>1056</v>
      </c>
      <c r="E120" s="391">
        <v>5</v>
      </c>
      <c r="F120" s="447">
        <v>150000</v>
      </c>
      <c r="G120" s="311">
        <v>750000</v>
      </c>
      <c r="H120" s="704">
        <v>45961</v>
      </c>
      <c r="I120" s="908"/>
      <c r="J120" s="908"/>
      <c r="K120" s="291"/>
      <c r="L120" s="288">
        <v>6</v>
      </c>
      <c r="M120" s="423" t="s">
        <v>1036</v>
      </c>
      <c r="N120" s="289"/>
      <c r="O120" s="578"/>
      <c r="P120" s="447"/>
      <c r="Q120" s="311"/>
      <c r="R120" s="892"/>
      <c r="S120" s="650"/>
      <c r="T120" s="555" t="str">
        <f t="shared" si="7"/>
        <v/>
      </c>
      <c r="U120" s="539">
        <f t="shared" si="9"/>
        <v>0</v>
      </c>
      <c r="V120" s="954"/>
      <c r="W120" s="612"/>
      <c r="X120" s="917"/>
      <c r="Y120" s="512"/>
      <c r="Z120" s="908"/>
    </row>
    <row r="121" spans="2:26" ht="14.25" customHeight="1">
      <c r="B121" s="288">
        <v>6</v>
      </c>
      <c r="C121" s="392"/>
      <c r="D121" s="289" t="s">
        <v>1057</v>
      </c>
      <c r="E121" s="391">
        <v>1000</v>
      </c>
      <c r="F121" s="447">
        <v>1619.3478260869565</v>
      </c>
      <c r="G121" s="311">
        <v>1619347.8260869565</v>
      </c>
      <c r="H121" s="704">
        <v>45961</v>
      </c>
      <c r="I121" s="908"/>
      <c r="J121" s="908"/>
      <c r="K121" s="291"/>
      <c r="L121" s="288">
        <v>6</v>
      </c>
      <c r="M121" s="423" t="s">
        <v>1036</v>
      </c>
      <c r="N121" s="289"/>
      <c r="O121" s="578"/>
      <c r="P121" s="447"/>
      <c r="Q121" s="311"/>
      <c r="R121" s="892"/>
      <c r="S121" s="650"/>
      <c r="T121" s="555" t="str">
        <f t="shared" si="7"/>
        <v/>
      </c>
      <c r="U121" s="539">
        <f t="shared" si="9"/>
        <v>0</v>
      </c>
      <c r="V121" s="954"/>
      <c r="W121" s="612"/>
      <c r="X121" s="917"/>
      <c r="Y121" s="512"/>
      <c r="Z121" s="908"/>
    </row>
    <row r="122" spans="2:26" ht="14.25" customHeight="1">
      <c r="B122" s="288">
        <v>6</v>
      </c>
      <c r="C122" s="392"/>
      <c r="D122" s="289" t="s">
        <v>1058</v>
      </c>
      <c r="E122" s="391">
        <v>1</v>
      </c>
      <c r="F122" s="447">
        <v>18000</v>
      </c>
      <c r="G122" s="311">
        <v>18000</v>
      </c>
      <c r="H122" s="704">
        <v>45961</v>
      </c>
      <c r="I122" s="908"/>
      <c r="J122" s="908"/>
      <c r="K122" s="291"/>
      <c r="L122" s="288">
        <v>6</v>
      </c>
      <c r="M122" s="423" t="s">
        <v>1036</v>
      </c>
      <c r="N122" s="289" t="s">
        <v>1055</v>
      </c>
      <c r="O122" s="578">
        <v>2</v>
      </c>
      <c r="P122" s="447">
        <v>3000000</v>
      </c>
      <c r="Q122" s="311">
        <v>6000000</v>
      </c>
      <c r="R122" s="892"/>
      <c r="S122" s="650"/>
      <c r="T122" s="555">
        <f t="shared" si="7"/>
        <v>46173</v>
      </c>
      <c r="U122" s="539">
        <f t="shared" si="9"/>
        <v>4710807.3645600928</v>
      </c>
      <c r="V122" s="954"/>
      <c r="W122" s="612">
        <v>46173</v>
      </c>
      <c r="X122" s="917"/>
      <c r="Y122" s="512"/>
      <c r="Z122" s="908"/>
    </row>
    <row r="123" spans="2:26" ht="14.25" customHeight="1">
      <c r="B123" s="288">
        <v>6</v>
      </c>
      <c r="C123" s="528"/>
      <c r="D123" s="325"/>
      <c r="E123" s="408"/>
      <c r="F123" s="454"/>
      <c r="G123" s="311"/>
      <c r="H123" s="704"/>
      <c r="I123" s="908"/>
      <c r="J123" s="908"/>
      <c r="K123" s="291"/>
      <c r="L123" s="288">
        <v>6</v>
      </c>
      <c r="M123" s="423" t="s">
        <v>1036</v>
      </c>
      <c r="N123" s="325"/>
      <c r="O123" s="579"/>
      <c r="P123" s="454"/>
      <c r="Q123" s="311"/>
      <c r="R123" s="898"/>
      <c r="S123" s="655"/>
      <c r="T123" s="558" t="str">
        <f t="shared" si="7"/>
        <v/>
      </c>
      <c r="U123" s="539">
        <f t="shared" si="9"/>
        <v>0</v>
      </c>
      <c r="V123" s="954"/>
      <c r="W123" s="615"/>
      <c r="X123" s="917"/>
      <c r="Y123" s="512"/>
      <c r="Z123" s="908"/>
    </row>
    <row r="124" spans="2:26" ht="14.25" customHeight="1">
      <c r="B124" s="288">
        <v>6</v>
      </c>
      <c r="C124" s="528"/>
      <c r="D124" s="325"/>
      <c r="E124" s="408"/>
      <c r="F124" s="454"/>
      <c r="G124" s="311"/>
      <c r="H124" s="704"/>
      <c r="I124" s="908"/>
      <c r="J124" s="908"/>
      <c r="K124" s="291"/>
      <c r="L124" s="288">
        <v>6</v>
      </c>
      <c r="M124" s="423" t="s">
        <v>1036</v>
      </c>
      <c r="N124" s="325"/>
      <c r="O124" s="579"/>
      <c r="P124" s="454"/>
      <c r="Q124" s="311"/>
      <c r="R124" s="898"/>
      <c r="S124" s="655"/>
      <c r="T124" s="558" t="str">
        <f t="shared" si="7"/>
        <v/>
      </c>
      <c r="U124" s="539">
        <f t="shared" si="9"/>
        <v>0</v>
      </c>
      <c r="V124" s="954"/>
      <c r="W124" s="615"/>
      <c r="X124" s="917"/>
      <c r="Y124" s="512"/>
      <c r="Z124" s="908"/>
    </row>
    <row r="125" spans="2:26" ht="14.25" customHeight="1">
      <c r="B125" s="288">
        <v>6</v>
      </c>
      <c r="C125" s="528"/>
      <c r="D125" s="325"/>
      <c r="E125" s="408"/>
      <c r="F125" s="454"/>
      <c r="G125" s="311"/>
      <c r="H125" s="704"/>
      <c r="I125" s="908"/>
      <c r="J125" s="908"/>
      <c r="K125" s="291"/>
      <c r="L125" s="288">
        <v>6</v>
      </c>
      <c r="M125" s="423" t="s">
        <v>1036</v>
      </c>
      <c r="N125" s="289" t="s">
        <v>1057</v>
      </c>
      <c r="O125" s="578">
        <v>1000</v>
      </c>
      <c r="P125" s="447">
        <v>1619.3478260869565</v>
      </c>
      <c r="Q125" s="311">
        <v>1619347.8260869565</v>
      </c>
      <c r="R125" s="898"/>
      <c r="S125" s="655"/>
      <c r="T125" s="558">
        <f t="shared" si="7"/>
        <v>46173</v>
      </c>
      <c r="U125" s="539">
        <f t="shared" si="9"/>
        <v>1271405.9441524686</v>
      </c>
      <c r="V125" s="954"/>
      <c r="W125" s="615">
        <v>46173</v>
      </c>
      <c r="X125" s="917"/>
      <c r="Y125" s="512"/>
      <c r="Z125" s="908"/>
    </row>
    <row r="126" spans="2:26" ht="14.25" customHeight="1">
      <c r="B126" s="288">
        <v>6</v>
      </c>
      <c r="C126" s="528"/>
      <c r="D126" s="325"/>
      <c r="E126" s="408"/>
      <c r="F126" s="454"/>
      <c r="G126" s="311"/>
      <c r="H126" s="704"/>
      <c r="I126" s="908"/>
      <c r="J126" s="908"/>
      <c r="K126" s="291"/>
      <c r="L126" s="288">
        <v>6</v>
      </c>
      <c r="M126" s="423" t="s">
        <v>1036</v>
      </c>
      <c r="N126" s="325"/>
      <c r="O126" s="579"/>
      <c r="P126" s="454"/>
      <c r="Q126" s="311"/>
      <c r="R126" s="898"/>
      <c r="S126" s="655"/>
      <c r="T126" s="558" t="str">
        <f t="shared" si="7"/>
        <v/>
      </c>
      <c r="U126" s="539">
        <f t="shared" si="9"/>
        <v>0</v>
      </c>
      <c r="V126" s="954"/>
      <c r="W126" s="615"/>
      <c r="X126" s="917"/>
      <c r="Y126" s="512"/>
      <c r="Z126" s="908"/>
    </row>
    <row r="127" spans="2:26" ht="14.25" customHeight="1">
      <c r="B127" s="288">
        <v>6</v>
      </c>
      <c r="C127" s="528"/>
      <c r="D127" s="325"/>
      <c r="E127" s="408"/>
      <c r="F127" s="454"/>
      <c r="G127" s="311"/>
      <c r="H127" s="704"/>
      <c r="I127" s="908"/>
      <c r="J127" s="908"/>
      <c r="K127" s="291"/>
      <c r="L127" s="288">
        <v>6</v>
      </c>
      <c r="M127" s="423" t="s">
        <v>1036</v>
      </c>
      <c r="N127" s="289"/>
      <c r="O127" s="578"/>
      <c r="P127" s="447"/>
      <c r="Q127" s="311"/>
      <c r="R127" s="898"/>
      <c r="S127" s="655"/>
      <c r="T127" s="558" t="str">
        <f t="shared" si="7"/>
        <v/>
      </c>
      <c r="U127" s="539">
        <f t="shared" si="9"/>
        <v>0</v>
      </c>
      <c r="V127" s="954"/>
      <c r="W127" s="615"/>
      <c r="X127" s="917"/>
      <c r="Y127" s="512"/>
      <c r="Z127" s="908"/>
    </row>
    <row r="128" spans="2:26" ht="14.25" customHeight="1">
      <c r="B128" s="288">
        <v>6</v>
      </c>
      <c r="C128" s="528"/>
      <c r="D128" s="325"/>
      <c r="E128" s="408"/>
      <c r="F128" s="454"/>
      <c r="G128" s="311"/>
      <c r="H128" s="704"/>
      <c r="I128" s="908"/>
      <c r="J128" s="908"/>
      <c r="K128" s="291"/>
      <c r="L128" s="288">
        <v>6</v>
      </c>
      <c r="M128" s="423" t="s">
        <v>1036</v>
      </c>
      <c r="N128" s="289" t="s">
        <v>1058</v>
      </c>
      <c r="O128" s="578">
        <v>1</v>
      </c>
      <c r="P128" s="447">
        <v>18000</v>
      </c>
      <c r="Q128" s="311">
        <v>18000</v>
      </c>
      <c r="R128" s="898"/>
      <c r="S128" s="655"/>
      <c r="T128" s="558">
        <f t="shared" si="7"/>
        <v>46173</v>
      </c>
      <c r="U128" s="539">
        <f t="shared" si="9"/>
        <v>14132.422093680278</v>
      </c>
      <c r="V128" s="954"/>
      <c r="W128" s="615">
        <v>46173</v>
      </c>
      <c r="X128" s="917"/>
      <c r="Y128" s="512"/>
      <c r="Z128" s="908"/>
    </row>
    <row r="129" spans="1:26" ht="14.25" customHeight="1">
      <c r="B129" s="288">
        <v>6</v>
      </c>
      <c r="C129" s="528"/>
      <c r="D129" s="325"/>
      <c r="E129" s="408"/>
      <c r="F129" s="454"/>
      <c r="G129" s="311"/>
      <c r="H129" s="704"/>
      <c r="I129" s="908"/>
      <c r="J129" s="908"/>
      <c r="K129" s="291"/>
      <c r="L129" s="288">
        <v>6</v>
      </c>
      <c r="M129" s="423" t="s">
        <v>1036</v>
      </c>
      <c r="N129" s="325"/>
      <c r="O129" s="579"/>
      <c r="P129" s="454"/>
      <c r="Q129" s="311"/>
      <c r="R129" s="898"/>
      <c r="S129" s="655"/>
      <c r="T129" s="558" t="str">
        <f t="shared" si="7"/>
        <v/>
      </c>
      <c r="U129" s="539">
        <f t="shared" si="9"/>
        <v>0</v>
      </c>
      <c r="V129" s="954"/>
      <c r="W129" s="615"/>
      <c r="X129" s="917"/>
      <c r="Y129" s="512"/>
      <c r="Z129" s="908"/>
    </row>
    <row r="130" spans="1:26" ht="14.25" customHeight="1">
      <c r="B130" s="288">
        <v>6</v>
      </c>
      <c r="C130" s="528"/>
      <c r="D130" s="325"/>
      <c r="E130" s="408"/>
      <c r="F130" s="454"/>
      <c r="G130" s="311"/>
      <c r="H130" s="704"/>
      <c r="I130" s="908"/>
      <c r="J130" s="908"/>
      <c r="K130" s="291"/>
      <c r="L130" s="288">
        <v>6</v>
      </c>
      <c r="M130" s="423" t="s">
        <v>1036</v>
      </c>
      <c r="N130" s="289"/>
      <c r="O130" s="578"/>
      <c r="P130" s="447"/>
      <c r="Q130" s="311"/>
      <c r="R130" s="898"/>
      <c r="S130" s="655"/>
      <c r="T130" s="558" t="str">
        <f t="shared" si="7"/>
        <v/>
      </c>
      <c r="U130" s="539">
        <f t="shared" si="9"/>
        <v>0</v>
      </c>
      <c r="V130" s="954"/>
      <c r="W130" s="615"/>
      <c r="X130" s="917"/>
      <c r="Y130" s="512"/>
      <c r="Z130" s="908"/>
    </row>
    <row r="131" spans="1:26" ht="14.25" customHeight="1">
      <c r="B131" s="288">
        <v>6</v>
      </c>
      <c r="C131" s="528"/>
      <c r="D131" s="325"/>
      <c r="E131" s="408"/>
      <c r="F131" s="454"/>
      <c r="G131" s="311"/>
      <c r="H131" s="704"/>
      <c r="I131" s="908"/>
      <c r="J131" s="908"/>
      <c r="K131" s="291"/>
      <c r="L131" s="288">
        <v>6</v>
      </c>
      <c r="M131" s="423" t="s">
        <v>1036</v>
      </c>
      <c r="N131" s="289" t="s">
        <v>1059</v>
      </c>
      <c r="O131" s="578">
        <v>2</v>
      </c>
      <c r="P131" s="447">
        <v>400000</v>
      </c>
      <c r="Q131" s="311">
        <f>O131*P131</f>
        <v>800000</v>
      </c>
      <c r="R131" s="898"/>
      <c r="S131" s="655"/>
      <c r="T131" s="558">
        <f t="shared" si="7"/>
        <v>46173</v>
      </c>
      <c r="U131" s="539">
        <f t="shared" si="9"/>
        <v>628107.64860801236</v>
      </c>
      <c r="V131" s="954"/>
      <c r="W131" s="615">
        <v>46173</v>
      </c>
      <c r="X131" s="917"/>
      <c r="Y131" s="512"/>
      <c r="Z131" s="908"/>
    </row>
    <row r="132" spans="1:26" ht="14.25" customHeight="1">
      <c r="B132" s="288">
        <v>6</v>
      </c>
      <c r="C132" s="528"/>
      <c r="D132" s="325"/>
      <c r="E132" s="408"/>
      <c r="F132" s="454"/>
      <c r="G132" s="311"/>
      <c r="H132" s="704"/>
      <c r="I132" s="908"/>
      <c r="J132" s="908"/>
      <c r="K132" s="291"/>
      <c r="L132" s="288">
        <v>6</v>
      </c>
      <c r="M132" s="423" t="s">
        <v>1036</v>
      </c>
      <c r="N132" s="289"/>
      <c r="O132" s="578"/>
      <c r="P132" s="447"/>
      <c r="Q132" s="311"/>
      <c r="R132" s="898"/>
      <c r="S132" s="655"/>
      <c r="T132" s="558" t="str">
        <f t="shared" si="7"/>
        <v/>
      </c>
      <c r="U132" s="539">
        <f t="shared" si="9"/>
        <v>0</v>
      </c>
      <c r="V132" s="954"/>
      <c r="W132" s="615"/>
      <c r="X132" s="917"/>
      <c r="Y132" s="512"/>
      <c r="Z132" s="908"/>
    </row>
    <row r="133" spans="1:26" ht="14.25" customHeight="1">
      <c r="B133" s="288">
        <v>6</v>
      </c>
      <c r="C133" s="528"/>
      <c r="D133" s="325"/>
      <c r="E133" s="408"/>
      <c r="F133" s="454"/>
      <c r="G133" s="311"/>
      <c r="H133" s="704"/>
      <c r="I133" s="908"/>
      <c r="J133" s="908"/>
      <c r="K133" s="291"/>
      <c r="L133" s="288">
        <v>6</v>
      </c>
      <c r="M133" s="423" t="s">
        <v>1036</v>
      </c>
      <c r="N133" s="289"/>
      <c r="O133" s="578"/>
      <c r="P133" s="447"/>
      <c r="Q133" s="311"/>
      <c r="R133" s="898"/>
      <c r="S133" s="655"/>
      <c r="T133" s="558" t="str">
        <f t="shared" si="7"/>
        <v/>
      </c>
      <c r="U133" s="539">
        <f t="shared" si="9"/>
        <v>0</v>
      </c>
      <c r="V133" s="954"/>
      <c r="W133" s="615"/>
      <c r="X133" s="917"/>
      <c r="Y133" s="512"/>
      <c r="Z133" s="908"/>
    </row>
    <row r="134" spans="1:26" ht="14.25" customHeight="1">
      <c r="B134" s="288">
        <v>6</v>
      </c>
      <c r="C134" s="528"/>
      <c r="D134" s="325"/>
      <c r="E134" s="408"/>
      <c r="F134" s="454"/>
      <c r="G134" s="311"/>
      <c r="H134" s="704"/>
      <c r="I134" s="908"/>
      <c r="J134" s="908"/>
      <c r="K134" s="291"/>
      <c r="L134" s="288">
        <v>6</v>
      </c>
      <c r="M134" s="423" t="s">
        <v>1036</v>
      </c>
      <c r="N134" s="325" t="s">
        <v>1060</v>
      </c>
      <c r="O134" s="579">
        <v>1</v>
      </c>
      <c r="P134" s="454">
        <v>4972644</v>
      </c>
      <c r="Q134" s="290">
        <f t="shared" ref="Q134" si="11">P134*O134</f>
        <v>4972644</v>
      </c>
      <c r="R134" s="898"/>
      <c r="S134" s="655"/>
      <c r="T134" s="558">
        <f t="shared" si="7"/>
        <v>46173</v>
      </c>
      <c r="U134" s="539">
        <f t="shared" si="9"/>
        <v>3904194.6627559266</v>
      </c>
      <c r="V134" s="954"/>
      <c r="W134" s="615">
        <v>46173</v>
      </c>
      <c r="X134" s="917"/>
      <c r="Y134" s="512"/>
      <c r="Z134" s="908"/>
    </row>
    <row r="135" spans="1:26" ht="14.25" customHeight="1">
      <c r="B135" s="288">
        <v>6</v>
      </c>
      <c r="C135" s="528"/>
      <c r="D135" s="325"/>
      <c r="E135" s="408"/>
      <c r="F135" s="454"/>
      <c r="G135" s="311"/>
      <c r="H135" s="704"/>
      <c r="I135" s="908"/>
      <c r="J135" s="908"/>
      <c r="K135" s="291"/>
      <c r="L135" s="288">
        <v>6</v>
      </c>
      <c r="M135" s="423" t="s">
        <v>1036</v>
      </c>
      <c r="N135" s="325"/>
      <c r="O135" s="408"/>
      <c r="P135" s="454"/>
      <c r="Q135" s="484"/>
      <c r="R135" s="898"/>
      <c r="S135" s="655"/>
      <c r="T135" s="558" t="str">
        <f t="shared" si="7"/>
        <v/>
      </c>
      <c r="U135" s="539">
        <f t="shared" si="9"/>
        <v>0</v>
      </c>
      <c r="V135" s="954"/>
      <c r="W135" s="615"/>
      <c r="X135" s="917"/>
      <c r="Y135" s="512"/>
      <c r="Z135" s="908"/>
    </row>
    <row r="136" spans="1:26" ht="15" customHeight="1" thickBot="1">
      <c r="B136" s="292">
        <v>6</v>
      </c>
      <c r="C136" s="393"/>
      <c r="D136" s="294"/>
      <c r="E136" s="451"/>
      <c r="F136" s="448"/>
      <c r="G136" s="295"/>
      <c r="H136" s="703"/>
      <c r="I136" s="909"/>
      <c r="J136" s="909"/>
      <c r="K136" s="296"/>
      <c r="L136" s="292">
        <v>6</v>
      </c>
      <c r="M136" s="425" t="s">
        <v>1036</v>
      </c>
      <c r="N136" s="294"/>
      <c r="O136" s="451"/>
      <c r="P136" s="448"/>
      <c r="Q136" s="482"/>
      <c r="R136" s="893"/>
      <c r="S136" s="651"/>
      <c r="T136" s="556" t="str">
        <f t="shared" ref="T136:T214" si="12">IF(W136&gt;1,EOMONTH(W136,0),"")</f>
        <v/>
      </c>
      <c r="U136" s="540"/>
      <c r="V136" s="955"/>
      <c r="W136" s="613"/>
      <c r="X136" s="918"/>
      <c r="Y136" s="510"/>
      <c r="Z136" s="909"/>
    </row>
    <row r="137" spans="1:26" ht="14.5" thickBot="1">
      <c r="A137" s="24"/>
      <c r="B137" s="280"/>
      <c r="C137" s="321"/>
      <c r="D137" s="298"/>
      <c r="E137" s="281"/>
      <c r="F137" s="449"/>
      <c r="G137" s="282"/>
      <c r="H137" s="700"/>
      <c r="I137" s="270"/>
      <c r="J137" s="270"/>
      <c r="K137" s="24"/>
      <c r="L137" s="280"/>
      <c r="M137" s="321"/>
      <c r="N137" s="298"/>
      <c r="O137" s="281"/>
      <c r="P137" s="449"/>
      <c r="Q137" s="479"/>
      <c r="R137" s="899"/>
      <c r="S137" s="656"/>
      <c r="T137" s="559" t="str">
        <f t="shared" si="12"/>
        <v/>
      </c>
      <c r="U137" s="545"/>
      <c r="V137" s="516"/>
      <c r="W137" s="616"/>
      <c r="X137" s="340"/>
      <c r="Y137" s="508"/>
      <c r="Z137" s="270"/>
    </row>
    <row r="138" spans="1:26" ht="14.25" customHeight="1">
      <c r="B138" s="372">
        <v>7</v>
      </c>
      <c r="C138" s="299" t="s">
        <v>1061</v>
      </c>
      <c r="D138" s="373"/>
      <c r="E138" s="455"/>
      <c r="F138" s="461"/>
      <c r="G138" s="374"/>
      <c r="H138" s="705"/>
      <c r="I138" s="913">
        <f>SUM(G138:G145)</f>
        <v>0</v>
      </c>
      <c r="J138" s="913">
        <v>0</v>
      </c>
      <c r="K138" s="275"/>
      <c r="L138" s="372">
        <v>7</v>
      </c>
      <c r="M138" s="299" t="s">
        <v>1062</v>
      </c>
      <c r="N138" s="635" t="s">
        <v>1063</v>
      </c>
      <c r="O138" s="636">
        <v>0.5</v>
      </c>
      <c r="P138" s="461"/>
      <c r="Q138" s="374">
        <f>150000*O138</f>
        <v>75000</v>
      </c>
      <c r="R138" s="900"/>
      <c r="S138" s="657"/>
      <c r="T138" s="560">
        <f t="shared" si="12"/>
        <v>46295</v>
      </c>
      <c r="U138" s="640">
        <f t="shared" ref="U138:U145" si="13">(Q138/$X$138*$J$138)</f>
        <v>0</v>
      </c>
      <c r="V138" s="950">
        <f>J138-SUM(U138:U145)</f>
        <v>0</v>
      </c>
      <c r="W138" s="617">
        <f>'Project Plan'!K301</f>
        <v>46279</v>
      </c>
      <c r="X138" s="910">
        <f>SUM(Q138:Q145)</f>
        <v>650000</v>
      </c>
      <c r="Y138" s="511"/>
      <c r="Z138" s="913">
        <f>I138-X138</f>
        <v>-650000</v>
      </c>
    </row>
    <row r="139" spans="1:26" ht="14.25" customHeight="1">
      <c r="B139" s="375">
        <v>7</v>
      </c>
      <c r="C139" s="376"/>
      <c r="D139" s="377"/>
      <c r="E139" s="399"/>
      <c r="F139" s="437"/>
      <c r="G139" s="378"/>
      <c r="H139" s="694"/>
      <c r="I139" s="914"/>
      <c r="J139" s="914"/>
      <c r="K139" s="278"/>
      <c r="L139" s="375">
        <v>7</v>
      </c>
      <c r="M139" s="376" t="s">
        <v>1062</v>
      </c>
      <c r="N139" s="376" t="s">
        <v>1064</v>
      </c>
      <c r="O139" s="583">
        <v>0.5</v>
      </c>
      <c r="P139" s="437"/>
      <c r="Q139" s="485">
        <f>150000*O139</f>
        <v>75000</v>
      </c>
      <c r="R139" s="887"/>
      <c r="S139" s="646"/>
      <c r="T139" s="551">
        <f t="shared" si="12"/>
        <v>46295</v>
      </c>
      <c r="U139" s="535">
        <f t="shared" si="13"/>
        <v>0</v>
      </c>
      <c r="V139" s="951"/>
      <c r="W139" s="608">
        <f>W138+14</f>
        <v>46293</v>
      </c>
      <c r="X139" s="911"/>
      <c r="Y139" s="507"/>
      <c r="Z139" s="914"/>
    </row>
    <row r="140" spans="1:26" ht="14.25" customHeight="1">
      <c r="B140" s="375">
        <v>7</v>
      </c>
      <c r="C140" s="376"/>
      <c r="D140" s="377"/>
      <c r="E140" s="399"/>
      <c r="F140" s="437"/>
      <c r="G140" s="378"/>
      <c r="H140" s="694"/>
      <c r="I140" s="914"/>
      <c r="J140" s="914"/>
      <c r="K140" s="278"/>
      <c r="L140" s="375">
        <v>7</v>
      </c>
      <c r="M140" s="376" t="s">
        <v>1062</v>
      </c>
      <c r="N140" s="376"/>
      <c r="O140" s="573"/>
      <c r="P140" s="437"/>
      <c r="Q140" s="485"/>
      <c r="R140" s="887"/>
      <c r="S140" s="646"/>
      <c r="T140" s="551" t="str">
        <f t="shared" si="12"/>
        <v/>
      </c>
      <c r="U140" s="535">
        <f t="shared" si="13"/>
        <v>0</v>
      </c>
      <c r="V140" s="951"/>
      <c r="W140" s="608"/>
      <c r="X140" s="911"/>
      <c r="Y140" s="507"/>
      <c r="Z140" s="914"/>
    </row>
    <row r="141" spans="1:26" ht="14.25" customHeight="1">
      <c r="B141" s="375">
        <v>7</v>
      </c>
      <c r="C141" s="376"/>
      <c r="D141" s="377"/>
      <c r="E141" s="399"/>
      <c r="F141" s="437"/>
      <c r="G141" s="378"/>
      <c r="H141" s="694"/>
      <c r="I141" s="914"/>
      <c r="J141" s="914"/>
      <c r="K141" s="278"/>
      <c r="L141" s="375">
        <v>7</v>
      </c>
      <c r="M141" s="376" t="s">
        <v>1062</v>
      </c>
      <c r="N141" s="376" t="s">
        <v>1065</v>
      </c>
      <c r="O141" s="573"/>
      <c r="P141" s="437"/>
      <c r="Q141" s="485">
        <v>500000</v>
      </c>
      <c r="R141" s="887"/>
      <c r="S141" s="646"/>
      <c r="T141" s="551">
        <f t="shared" si="12"/>
        <v>46295</v>
      </c>
      <c r="U141" s="535">
        <f t="shared" si="13"/>
        <v>0</v>
      </c>
      <c r="V141" s="951"/>
      <c r="W141" s="608">
        <f>W139</f>
        <v>46293</v>
      </c>
      <c r="X141" s="911"/>
      <c r="Y141" s="507"/>
      <c r="Z141" s="914"/>
    </row>
    <row r="142" spans="1:26" ht="14.25" customHeight="1">
      <c r="B142" s="375">
        <v>7</v>
      </c>
      <c r="C142" s="376"/>
      <c r="D142" s="377"/>
      <c r="E142" s="399"/>
      <c r="F142" s="437"/>
      <c r="G142" s="378"/>
      <c r="H142" s="694"/>
      <c r="I142" s="914"/>
      <c r="J142" s="914"/>
      <c r="K142" s="278"/>
      <c r="L142" s="375">
        <v>7</v>
      </c>
      <c r="M142" s="376" t="s">
        <v>1062</v>
      </c>
      <c r="N142" s="377"/>
      <c r="O142" s="399"/>
      <c r="P142" s="437"/>
      <c r="Q142" s="485"/>
      <c r="R142" s="887"/>
      <c r="S142" s="646"/>
      <c r="T142" s="551" t="str">
        <f t="shared" si="12"/>
        <v/>
      </c>
      <c r="U142" s="535">
        <f t="shared" si="13"/>
        <v>0</v>
      </c>
      <c r="V142" s="951"/>
      <c r="W142" s="608"/>
      <c r="X142" s="911"/>
      <c r="Y142" s="507"/>
      <c r="Z142" s="914"/>
    </row>
    <row r="143" spans="1:26" ht="14.25" customHeight="1">
      <c r="B143" s="375">
        <v>7</v>
      </c>
      <c r="C143" s="376"/>
      <c r="D143" s="377"/>
      <c r="E143" s="399"/>
      <c r="F143" s="437"/>
      <c r="G143" s="378"/>
      <c r="H143" s="694"/>
      <c r="I143" s="914"/>
      <c r="J143" s="914"/>
      <c r="K143" s="278"/>
      <c r="L143" s="375">
        <v>7</v>
      </c>
      <c r="M143" s="376" t="s">
        <v>1062</v>
      </c>
      <c r="N143" s="377"/>
      <c r="O143" s="399"/>
      <c r="P143" s="437"/>
      <c r="Q143" s="485"/>
      <c r="R143" s="887"/>
      <c r="S143" s="646"/>
      <c r="T143" s="551" t="str">
        <f t="shared" si="12"/>
        <v/>
      </c>
      <c r="U143" s="535">
        <f t="shared" si="13"/>
        <v>0</v>
      </c>
      <c r="V143" s="951"/>
      <c r="W143" s="608"/>
      <c r="X143" s="911"/>
      <c r="Y143" s="507"/>
      <c r="Z143" s="914"/>
    </row>
    <row r="144" spans="1:26" ht="14.25" customHeight="1">
      <c r="B144" s="375">
        <v>7</v>
      </c>
      <c r="C144" s="376"/>
      <c r="D144" s="377"/>
      <c r="E144" s="399"/>
      <c r="F144" s="437"/>
      <c r="G144" s="378"/>
      <c r="H144" s="694"/>
      <c r="I144" s="914"/>
      <c r="J144" s="914"/>
      <c r="K144" s="278"/>
      <c r="L144" s="375">
        <v>7</v>
      </c>
      <c r="M144" s="376" t="s">
        <v>1062</v>
      </c>
      <c r="N144" s="377"/>
      <c r="O144" s="399"/>
      <c r="P144" s="437"/>
      <c r="Q144" s="485"/>
      <c r="R144" s="887"/>
      <c r="S144" s="646"/>
      <c r="T144" s="551" t="str">
        <f t="shared" si="12"/>
        <v/>
      </c>
      <c r="U144" s="535">
        <f t="shared" si="13"/>
        <v>0</v>
      </c>
      <c r="V144" s="951"/>
      <c r="W144" s="608"/>
      <c r="X144" s="911"/>
      <c r="Y144" s="507"/>
      <c r="Z144" s="914"/>
    </row>
    <row r="145" spans="1:26" ht="15" customHeight="1" thickBot="1">
      <c r="B145" s="306">
        <v>7</v>
      </c>
      <c r="C145" s="327"/>
      <c r="D145" s="319"/>
      <c r="E145" s="308"/>
      <c r="F145" s="453"/>
      <c r="G145" s="320"/>
      <c r="H145" s="695"/>
      <c r="I145" s="915"/>
      <c r="J145" s="915"/>
      <c r="K145" s="279"/>
      <c r="L145" s="306">
        <v>7</v>
      </c>
      <c r="M145" s="327" t="s">
        <v>1062</v>
      </c>
      <c r="N145" s="319"/>
      <c r="O145" s="308"/>
      <c r="P145" s="453"/>
      <c r="Q145" s="476"/>
      <c r="R145" s="895"/>
      <c r="S145" s="647"/>
      <c r="T145" s="552" t="str">
        <f t="shared" si="12"/>
        <v/>
      </c>
      <c r="U145" s="536">
        <f t="shared" si="13"/>
        <v>0</v>
      </c>
      <c r="V145" s="952"/>
      <c r="W145" s="609"/>
      <c r="X145" s="912"/>
      <c r="Y145" s="470"/>
      <c r="Z145" s="915"/>
    </row>
    <row r="146" spans="1:26" ht="14.5" thickBot="1">
      <c r="A146" s="24"/>
      <c r="B146" s="280"/>
      <c r="C146" s="321"/>
      <c r="D146" s="298"/>
      <c r="E146" s="281"/>
      <c r="F146" s="449"/>
      <c r="G146" s="282"/>
      <c r="H146" s="700"/>
      <c r="I146" s="270"/>
      <c r="J146" s="270"/>
      <c r="K146" s="24"/>
      <c r="L146" s="280"/>
      <c r="M146" s="321"/>
      <c r="N146" s="298"/>
      <c r="O146" s="281"/>
      <c r="P146" s="449"/>
      <c r="Q146" s="479"/>
      <c r="R146" s="894"/>
      <c r="S146" s="652"/>
      <c r="T146" s="553" t="str">
        <f t="shared" si="12"/>
        <v/>
      </c>
      <c r="U146" s="541"/>
      <c r="V146" s="521"/>
      <c r="W146" s="610"/>
      <c r="X146" s="340"/>
      <c r="Y146" s="508"/>
      <c r="Z146" s="270"/>
    </row>
    <row r="147" spans="1:26" ht="14.25" customHeight="1">
      <c r="B147" s="322">
        <v>8</v>
      </c>
      <c r="C147" s="284" t="s">
        <v>1066</v>
      </c>
      <c r="D147" s="323" t="s">
        <v>720</v>
      </c>
      <c r="E147" s="456">
        <v>20</v>
      </c>
      <c r="F147" s="409">
        <v>12000</v>
      </c>
      <c r="G147" s="324">
        <f>E147*F147</f>
        <v>240000</v>
      </c>
      <c r="H147" s="706">
        <v>45736</v>
      </c>
      <c r="I147" s="907">
        <f>SUM(G147:G177)</f>
        <v>14386935</v>
      </c>
      <c r="J147" s="907">
        <f>253968.253968254+14435647.9591837</f>
        <v>14689616.213151954</v>
      </c>
      <c r="K147" s="287"/>
      <c r="L147" s="322">
        <v>8</v>
      </c>
      <c r="M147" s="418" t="s">
        <v>1067</v>
      </c>
      <c r="N147" s="323" t="s">
        <v>1068</v>
      </c>
      <c r="O147" s="637">
        <v>0.70909090909000005</v>
      </c>
      <c r="P147" s="409">
        <v>5500000</v>
      </c>
      <c r="Q147" s="324">
        <f>O147*P147</f>
        <v>3899999.9999950002</v>
      </c>
      <c r="R147" s="896"/>
      <c r="S147" s="649" t="s">
        <v>1069</v>
      </c>
      <c r="T147" s="554">
        <v>46081</v>
      </c>
      <c r="U147" s="538">
        <f t="shared" ref="U147:U177" si="14">(Q147/$X$147*$J$147)</f>
        <v>2980289.3083961019</v>
      </c>
      <c r="V147" s="946">
        <f>J147-SUM(U147:U177)</f>
        <v>0</v>
      </c>
      <c r="W147" s="568">
        <v>45736</v>
      </c>
      <c r="X147" s="916">
        <f>SUM(Q147:Q177)</f>
        <v>19222799.299995001</v>
      </c>
      <c r="Y147" s="509"/>
      <c r="Z147" s="907">
        <f>I147-X147</f>
        <v>-4835864.2999950014</v>
      </c>
    </row>
    <row r="148" spans="1:26" ht="14.25" customHeight="1">
      <c r="B148" s="312">
        <v>8</v>
      </c>
      <c r="C148" s="313"/>
      <c r="D148" s="325" t="s">
        <v>1070</v>
      </c>
      <c r="E148" s="408">
        <v>1</v>
      </c>
      <c r="F148" s="454">
        <v>750000</v>
      </c>
      <c r="G148" s="314">
        <f>F148*E148</f>
        <v>750000</v>
      </c>
      <c r="H148" s="707">
        <v>45827</v>
      </c>
      <c r="I148" s="908"/>
      <c r="J148" s="908"/>
      <c r="K148" s="291"/>
      <c r="L148" s="312">
        <v>8</v>
      </c>
      <c r="M148" s="426" t="s">
        <v>1067</v>
      </c>
      <c r="N148" s="325" t="s">
        <v>1068</v>
      </c>
      <c r="O148" s="638">
        <v>0.29090909090999995</v>
      </c>
      <c r="P148" s="454"/>
      <c r="Q148" s="314">
        <v>1500000</v>
      </c>
      <c r="R148" s="892"/>
      <c r="S148" s="649" t="s">
        <v>1071</v>
      </c>
      <c r="T148" s="555">
        <v>46081</v>
      </c>
      <c r="U148" s="539">
        <f t="shared" si="14"/>
        <v>1146265.1186153549</v>
      </c>
      <c r="V148" s="947"/>
      <c r="W148" s="569">
        <v>45827</v>
      </c>
      <c r="X148" s="917"/>
      <c r="Y148" s="512"/>
      <c r="Z148" s="908"/>
    </row>
    <row r="149" spans="1:26" ht="14.25" customHeight="1">
      <c r="B149" s="312">
        <v>8</v>
      </c>
      <c r="C149" s="313"/>
      <c r="D149" s="325" t="s">
        <v>1072</v>
      </c>
      <c r="E149" s="408">
        <v>1</v>
      </c>
      <c r="F149" s="454">
        <v>1684291</v>
      </c>
      <c r="G149" s="314">
        <f t="shared" ref="G149" si="15">F149*E149</f>
        <v>1684291</v>
      </c>
      <c r="H149" s="707">
        <v>45930</v>
      </c>
      <c r="I149" s="908"/>
      <c r="J149" s="908"/>
      <c r="K149" s="291"/>
      <c r="L149" s="312">
        <v>8</v>
      </c>
      <c r="M149" s="426" t="s">
        <v>1067</v>
      </c>
      <c r="N149" s="325"/>
      <c r="O149" s="638"/>
      <c r="P149" s="454"/>
      <c r="Q149" s="314"/>
      <c r="R149" s="892"/>
      <c r="S149" s="650"/>
      <c r="T149" s="555"/>
      <c r="U149" s="539">
        <f t="shared" si="14"/>
        <v>0</v>
      </c>
      <c r="V149" s="947"/>
      <c r="W149" s="612"/>
      <c r="X149" s="917"/>
      <c r="Y149" s="512"/>
      <c r="Z149" s="908"/>
    </row>
    <row r="150" spans="1:26" ht="14.25" customHeight="1">
      <c r="B150" s="312"/>
      <c r="C150" s="313"/>
      <c r="D150" s="325" t="s">
        <v>1073</v>
      </c>
      <c r="E150" s="408">
        <v>1</v>
      </c>
      <c r="F150" s="454">
        <v>440000</v>
      </c>
      <c r="G150" s="314">
        <f>F150*E150</f>
        <v>440000</v>
      </c>
      <c r="H150" s="707">
        <v>45930</v>
      </c>
      <c r="I150" s="908"/>
      <c r="J150" s="908"/>
      <c r="K150" s="291"/>
      <c r="L150" s="312">
        <v>8</v>
      </c>
      <c r="M150" s="426" t="s">
        <v>1067</v>
      </c>
      <c r="N150" s="325" t="s">
        <v>1074</v>
      </c>
      <c r="O150" s="579">
        <v>4</v>
      </c>
      <c r="P150" s="454">
        <f>5493769.92/4</f>
        <v>1373442.48</v>
      </c>
      <c r="Q150" s="314">
        <f>$O$150*$P$150*30%</f>
        <v>1648130.976</v>
      </c>
      <c r="R150" s="931" t="s">
        <v>1075</v>
      </c>
      <c r="S150" s="650" t="s">
        <v>1076</v>
      </c>
      <c r="T150" s="555">
        <v>46081</v>
      </c>
      <c r="U150" s="539">
        <f t="shared" si="14"/>
        <v>1259463.3657988538</v>
      </c>
      <c r="V150" s="947"/>
      <c r="W150" s="860">
        <v>46058</v>
      </c>
      <c r="X150" s="917"/>
      <c r="Y150" s="512"/>
      <c r="Z150" s="908"/>
    </row>
    <row r="151" spans="1:26" ht="14.25" customHeight="1">
      <c r="B151" s="312"/>
      <c r="C151" s="313"/>
      <c r="D151" s="325" t="s">
        <v>1077</v>
      </c>
      <c r="E151" s="408">
        <v>1</v>
      </c>
      <c r="F151" s="454">
        <v>5500000</v>
      </c>
      <c r="G151" s="314">
        <f>F151*E151</f>
        <v>5500000</v>
      </c>
      <c r="H151" s="707">
        <v>45930</v>
      </c>
      <c r="I151" s="908"/>
      <c r="J151" s="908"/>
      <c r="K151" s="291"/>
      <c r="L151" s="312">
        <v>8</v>
      </c>
      <c r="M151" s="426" t="s">
        <v>1067</v>
      </c>
      <c r="N151" s="325" t="s">
        <v>1078</v>
      </c>
      <c r="O151" s="579"/>
      <c r="P151" s="454"/>
      <c r="Q151" s="314">
        <f>$O$150*$P$150*20%</f>
        <v>1098753.9839999999</v>
      </c>
      <c r="R151" s="949"/>
      <c r="S151" s="650"/>
      <c r="T151" s="555">
        <v>46112</v>
      </c>
      <c r="U151" s="539">
        <f t="shared" si="14"/>
        <v>839642.24386590242</v>
      </c>
      <c r="V151" s="947"/>
      <c r="W151" s="612">
        <f>T151</f>
        <v>46112</v>
      </c>
      <c r="X151" s="917"/>
      <c r="Y151" s="512"/>
      <c r="Z151" s="908"/>
    </row>
    <row r="152" spans="1:26" ht="14.25" customHeight="1">
      <c r="B152" s="312"/>
      <c r="C152" s="313"/>
      <c r="D152" s="325"/>
      <c r="E152" s="408"/>
      <c r="F152" s="454"/>
      <c r="G152" s="314"/>
      <c r="H152" s="707">
        <v>45930</v>
      </c>
      <c r="I152" s="908"/>
      <c r="J152" s="908"/>
      <c r="K152" s="291"/>
      <c r="L152" s="312">
        <v>8</v>
      </c>
      <c r="M152" s="426" t="s">
        <v>1067</v>
      </c>
      <c r="N152" s="325" t="s">
        <v>1079</v>
      </c>
      <c r="O152" s="579"/>
      <c r="P152" s="454"/>
      <c r="Q152" s="314">
        <f>$O$150*$P$150*20%</f>
        <v>1098753.9839999999</v>
      </c>
      <c r="R152" s="949"/>
      <c r="S152" s="650"/>
      <c r="T152" s="555">
        <v>46142</v>
      </c>
      <c r="U152" s="539">
        <f t="shared" si="14"/>
        <v>839642.24386590242</v>
      </c>
      <c r="V152" s="947"/>
      <c r="W152" s="612">
        <f t="shared" ref="W152" si="16">T152</f>
        <v>46142</v>
      </c>
      <c r="X152" s="917"/>
      <c r="Y152" s="512"/>
      <c r="Z152" s="908"/>
    </row>
    <row r="153" spans="1:26" ht="14.25" customHeight="1">
      <c r="B153" s="312"/>
      <c r="C153" s="313"/>
      <c r="D153" s="325" t="s">
        <v>1060</v>
      </c>
      <c r="E153" s="408">
        <v>1</v>
      </c>
      <c r="F153" s="454">
        <v>4972644</v>
      </c>
      <c r="G153" s="314">
        <f>F153*E153</f>
        <v>4972644</v>
      </c>
      <c r="H153" s="707">
        <v>45930</v>
      </c>
      <c r="I153" s="908"/>
      <c r="J153" s="908"/>
      <c r="K153" s="291"/>
      <c r="L153" s="312">
        <v>8</v>
      </c>
      <c r="M153" s="426" t="s">
        <v>1067</v>
      </c>
      <c r="N153" s="325" t="s">
        <v>1080</v>
      </c>
      <c r="O153" s="579"/>
      <c r="P153" s="454"/>
      <c r="Q153" s="314">
        <f t="shared" ref="Q153" si="17">$O$150*$P$150*30%</f>
        <v>1648130.976</v>
      </c>
      <c r="R153" s="932"/>
      <c r="S153" s="650"/>
      <c r="T153" s="555">
        <v>46173</v>
      </c>
      <c r="U153" s="539">
        <f t="shared" si="14"/>
        <v>1259463.3657988538</v>
      </c>
      <c r="V153" s="947"/>
      <c r="W153" s="612">
        <f>T153+30</f>
        <v>46203</v>
      </c>
      <c r="X153" s="917"/>
      <c r="Y153" s="512"/>
      <c r="Z153" s="908"/>
    </row>
    <row r="154" spans="1:26" ht="14.25" customHeight="1">
      <c r="B154" s="312"/>
      <c r="C154" s="313"/>
      <c r="D154" s="325" t="s">
        <v>1059</v>
      </c>
      <c r="E154" s="408">
        <v>2</v>
      </c>
      <c r="F154" s="454">
        <v>400000</v>
      </c>
      <c r="G154" s="314">
        <f>F154*E154</f>
        <v>800000</v>
      </c>
      <c r="H154" s="707">
        <v>45930</v>
      </c>
      <c r="I154" s="908"/>
      <c r="J154" s="908"/>
      <c r="K154" s="291"/>
      <c r="L154" s="312">
        <v>8</v>
      </c>
      <c r="M154" s="426" t="s">
        <v>1067</v>
      </c>
      <c r="N154" s="325"/>
      <c r="O154" s="579"/>
      <c r="P154" s="454"/>
      <c r="Q154" s="314"/>
      <c r="R154" s="892"/>
      <c r="S154" s="650"/>
      <c r="T154" s="555" t="str">
        <f t="shared" si="12"/>
        <v/>
      </c>
      <c r="U154" s="539">
        <f t="shared" si="14"/>
        <v>0</v>
      </c>
      <c r="V154" s="947"/>
      <c r="W154" s="612"/>
      <c r="X154" s="917"/>
      <c r="Y154" s="512"/>
      <c r="Z154" s="908"/>
    </row>
    <row r="155" spans="1:26" ht="14.25" customHeight="1">
      <c r="B155" s="312"/>
      <c r="C155" s="313"/>
      <c r="D155" s="325"/>
      <c r="E155" s="408"/>
      <c r="F155" s="454"/>
      <c r="G155" s="314"/>
      <c r="H155" s="707"/>
      <c r="I155" s="908"/>
      <c r="J155" s="908"/>
      <c r="K155" s="291"/>
      <c r="L155" s="312">
        <v>8</v>
      </c>
      <c r="M155" s="426" t="s">
        <v>1067</v>
      </c>
      <c r="N155" s="325" t="s">
        <v>1081</v>
      </c>
      <c r="O155" s="638">
        <v>0.5</v>
      </c>
      <c r="P155" s="454">
        <v>318220.94</v>
      </c>
      <c r="Q155" s="314">
        <f>O155*$P$155</f>
        <v>159110.47</v>
      </c>
      <c r="R155" s="931" t="s">
        <v>1082</v>
      </c>
      <c r="S155" s="650"/>
      <c r="T155" s="555">
        <v>46081</v>
      </c>
      <c r="U155" s="539">
        <f t="shared" si="14"/>
        <v>121588.5211783299</v>
      </c>
      <c r="V155" s="947"/>
      <c r="W155" s="612">
        <v>46086</v>
      </c>
      <c r="X155" s="917"/>
      <c r="Y155" s="512"/>
      <c r="Z155" s="908"/>
    </row>
    <row r="156" spans="1:26" ht="14.25" customHeight="1">
      <c r="B156" s="312"/>
      <c r="C156" s="313"/>
      <c r="D156" s="325"/>
      <c r="E156" s="408"/>
      <c r="F156" s="454"/>
      <c r="G156" s="314"/>
      <c r="H156" s="707"/>
      <c r="I156" s="908"/>
      <c r="J156" s="908"/>
      <c r="K156" s="291"/>
      <c r="L156" s="312">
        <v>8</v>
      </c>
      <c r="M156" s="426" t="s">
        <v>1067</v>
      </c>
      <c r="N156" s="325" t="s">
        <v>1083</v>
      </c>
      <c r="O156" s="638">
        <v>0.5</v>
      </c>
      <c r="P156" s="454"/>
      <c r="Q156" s="314">
        <f>O156*$P$155</f>
        <v>159110.47</v>
      </c>
      <c r="R156" s="932"/>
      <c r="S156" s="650"/>
      <c r="T156" s="555">
        <v>46142</v>
      </c>
      <c r="U156" s="539">
        <f t="shared" si="14"/>
        <v>121588.5211783299</v>
      </c>
      <c r="V156" s="947"/>
      <c r="W156" s="612">
        <f>W155+60</f>
        <v>46146</v>
      </c>
      <c r="X156" s="917"/>
      <c r="Y156" s="512"/>
      <c r="Z156" s="908"/>
    </row>
    <row r="157" spans="1:26" ht="14.25" customHeight="1">
      <c r="B157" s="312"/>
      <c r="C157" s="313"/>
      <c r="D157" s="325"/>
      <c r="E157" s="408"/>
      <c r="F157" s="454"/>
      <c r="G157" s="314"/>
      <c r="H157" s="707"/>
      <c r="I157" s="908"/>
      <c r="J157" s="908"/>
      <c r="K157" s="291"/>
      <c r="L157" s="312">
        <v>8</v>
      </c>
      <c r="M157" s="426" t="s">
        <v>1067</v>
      </c>
      <c r="N157" s="325"/>
      <c r="O157" s="579"/>
      <c r="P157" s="454"/>
      <c r="Q157" s="314"/>
      <c r="R157" s="892"/>
      <c r="S157" s="650"/>
      <c r="T157" s="555" t="str">
        <f t="shared" si="12"/>
        <v/>
      </c>
      <c r="U157" s="539">
        <f t="shared" si="14"/>
        <v>0</v>
      </c>
      <c r="V157" s="947"/>
      <c r="W157" s="612"/>
      <c r="X157" s="917"/>
      <c r="Y157" s="512"/>
      <c r="Z157" s="908"/>
    </row>
    <row r="158" spans="1:26" ht="14.25" customHeight="1">
      <c r="B158" s="312"/>
      <c r="C158" s="313"/>
      <c r="D158" s="325"/>
      <c r="E158" s="408"/>
      <c r="F158" s="454"/>
      <c r="G158" s="314"/>
      <c r="H158" s="707"/>
      <c r="I158" s="908"/>
      <c r="J158" s="908"/>
      <c r="K158" s="291"/>
      <c r="L158" s="312">
        <v>8</v>
      </c>
      <c r="M158" s="426" t="s">
        <v>1067</v>
      </c>
      <c r="N158" s="325" t="s">
        <v>1084</v>
      </c>
      <c r="O158" s="638">
        <v>1</v>
      </c>
      <c r="P158" s="454">
        <v>1967547.34</v>
      </c>
      <c r="Q158" s="314">
        <f>P158*O158</f>
        <v>1967547.34</v>
      </c>
      <c r="R158" s="892" t="s">
        <v>1085</v>
      </c>
      <c r="S158" s="650"/>
      <c r="T158" s="555">
        <v>46081</v>
      </c>
      <c r="U158" s="539">
        <f t="shared" si="14"/>
        <v>1503553.9233776175</v>
      </c>
      <c r="V158" s="947"/>
      <c r="W158" s="612">
        <v>46112</v>
      </c>
      <c r="X158" s="917"/>
      <c r="Y158" s="512"/>
      <c r="Z158" s="908"/>
    </row>
    <row r="159" spans="1:26" ht="14.25" customHeight="1">
      <c r="B159" s="312"/>
      <c r="C159" s="313"/>
      <c r="D159" s="325"/>
      <c r="E159" s="408"/>
      <c r="F159" s="454"/>
      <c r="G159" s="314"/>
      <c r="H159" s="707"/>
      <c r="I159" s="908"/>
      <c r="J159" s="908"/>
      <c r="K159" s="291"/>
      <c r="L159" s="312">
        <v>8</v>
      </c>
      <c r="M159" s="426" t="s">
        <v>1067</v>
      </c>
      <c r="N159" s="325"/>
      <c r="O159" s="638"/>
      <c r="P159" s="454"/>
      <c r="Q159" s="314"/>
      <c r="R159" s="892"/>
      <c r="S159" s="650"/>
      <c r="T159" s="555"/>
      <c r="U159" s="539">
        <f t="shared" si="14"/>
        <v>0</v>
      </c>
      <c r="V159" s="947"/>
      <c r="W159" s="612"/>
      <c r="X159" s="917"/>
      <c r="Y159" s="512"/>
      <c r="Z159" s="908"/>
    </row>
    <row r="160" spans="1:26" ht="14.25" customHeight="1">
      <c r="B160" s="312"/>
      <c r="C160" s="313"/>
      <c r="D160" s="325"/>
      <c r="E160" s="408"/>
      <c r="F160" s="454"/>
      <c r="G160" s="314"/>
      <c r="H160" s="707"/>
      <c r="I160" s="908"/>
      <c r="J160" s="908"/>
      <c r="K160" s="291"/>
      <c r="L160" s="312">
        <v>8</v>
      </c>
      <c r="M160" s="426" t="s">
        <v>1067</v>
      </c>
      <c r="N160" s="325" t="s">
        <v>1086</v>
      </c>
      <c r="O160" s="638">
        <v>0.7</v>
      </c>
      <c r="P160" s="454">
        <v>370205.5</v>
      </c>
      <c r="Q160" s="314">
        <f>O160*$P$160</f>
        <v>259143.84999999998</v>
      </c>
      <c r="R160" s="931" t="s">
        <v>1087</v>
      </c>
      <c r="S160" s="650" t="s">
        <v>1374</v>
      </c>
      <c r="T160" s="555">
        <v>46081</v>
      </c>
      <c r="U160" s="539">
        <f t="shared" si="14"/>
        <v>198031.7039724598</v>
      </c>
      <c r="V160" s="947"/>
      <c r="W160" s="612">
        <v>46081</v>
      </c>
      <c r="X160" s="917"/>
      <c r="Y160" s="512"/>
      <c r="Z160" s="908"/>
    </row>
    <row r="161" spans="2:26" ht="14.25" customHeight="1">
      <c r="B161" s="312"/>
      <c r="C161" s="313"/>
      <c r="D161" s="325"/>
      <c r="E161" s="408"/>
      <c r="F161" s="454"/>
      <c r="G161" s="314"/>
      <c r="H161" s="707"/>
      <c r="I161" s="908"/>
      <c r="J161" s="908"/>
      <c r="K161" s="291"/>
      <c r="L161" s="312">
        <v>8</v>
      </c>
      <c r="M161" s="426" t="s">
        <v>1067</v>
      </c>
      <c r="N161" s="325" t="s">
        <v>1088</v>
      </c>
      <c r="O161" s="638">
        <v>0.3</v>
      </c>
      <c r="P161" s="454"/>
      <c r="Q161" s="314">
        <f>O161*$P$160</f>
        <v>111061.65</v>
      </c>
      <c r="R161" s="932"/>
      <c r="S161" s="650"/>
      <c r="T161" s="555">
        <v>46112</v>
      </c>
      <c r="U161" s="539">
        <f t="shared" si="14"/>
        <v>84870.730273911351</v>
      </c>
      <c r="V161" s="947"/>
      <c r="W161" s="612">
        <f>T161</f>
        <v>46112</v>
      </c>
      <c r="X161" s="917"/>
      <c r="Y161" s="512"/>
      <c r="Z161" s="908"/>
    </row>
    <row r="162" spans="2:26" ht="14.25" customHeight="1">
      <c r="B162" s="312"/>
      <c r="C162" s="313"/>
      <c r="D162" s="325"/>
      <c r="E162" s="408"/>
      <c r="F162" s="454"/>
      <c r="G162" s="314"/>
      <c r="H162" s="707"/>
      <c r="I162" s="908"/>
      <c r="J162" s="908"/>
      <c r="K162" s="291"/>
      <c r="L162" s="312">
        <v>8</v>
      </c>
      <c r="M162" s="426" t="s">
        <v>1067</v>
      </c>
      <c r="N162" s="325"/>
      <c r="O162" s="579"/>
      <c r="P162" s="454"/>
      <c r="Q162" s="314"/>
      <c r="R162" s="892"/>
      <c r="S162" s="650"/>
      <c r="T162" s="555" t="str">
        <f t="shared" si="12"/>
        <v/>
      </c>
      <c r="U162" s="539">
        <f t="shared" si="14"/>
        <v>0</v>
      </c>
      <c r="V162" s="947"/>
      <c r="W162" s="612"/>
      <c r="X162" s="917"/>
      <c r="Y162" s="512"/>
      <c r="Z162" s="908"/>
    </row>
    <row r="163" spans="2:26" ht="14.25" customHeight="1">
      <c r="B163" s="312"/>
      <c r="C163" s="313"/>
      <c r="D163" s="325"/>
      <c r="E163" s="408"/>
      <c r="F163" s="454"/>
      <c r="G163" s="314"/>
      <c r="H163" s="707"/>
      <c r="I163" s="908"/>
      <c r="J163" s="908"/>
      <c r="K163" s="291"/>
      <c r="L163" s="312">
        <v>8</v>
      </c>
      <c r="M163" s="426" t="s">
        <v>1067</v>
      </c>
      <c r="N163" s="325" t="s">
        <v>1089</v>
      </c>
      <c r="O163" s="638">
        <v>0.6</v>
      </c>
      <c r="P163" s="454">
        <v>2781089</v>
      </c>
      <c r="Q163" s="314">
        <f>O163*$P$163</f>
        <v>1668653.4</v>
      </c>
      <c r="R163" s="892"/>
      <c r="S163" s="650"/>
      <c r="T163" s="555">
        <v>46081</v>
      </c>
      <c r="U163" s="539">
        <f t="shared" si="14"/>
        <v>1275146.1249859433</v>
      </c>
      <c r="V163" s="947"/>
      <c r="W163" s="612">
        <v>46079</v>
      </c>
      <c r="X163" s="917"/>
      <c r="Y163" s="512"/>
      <c r="Z163" s="908"/>
    </row>
    <row r="164" spans="2:26" ht="14.25" customHeight="1">
      <c r="B164" s="312"/>
      <c r="C164" s="313"/>
      <c r="D164" s="325"/>
      <c r="E164" s="408"/>
      <c r="F164" s="454"/>
      <c r="G164" s="314"/>
      <c r="H164" s="707"/>
      <c r="I164" s="908"/>
      <c r="J164" s="908"/>
      <c r="K164" s="291"/>
      <c r="L164" s="312">
        <v>8</v>
      </c>
      <c r="M164" s="426" t="s">
        <v>1067</v>
      </c>
      <c r="N164" s="325" t="s">
        <v>1090</v>
      </c>
      <c r="O164" s="638">
        <v>0.4</v>
      </c>
      <c r="P164" s="454"/>
      <c r="Q164" s="314">
        <f>O164*$P$163</f>
        <v>1112435.6000000001</v>
      </c>
      <c r="R164" s="892"/>
      <c r="S164" s="650"/>
      <c r="T164" s="555">
        <v>46142</v>
      </c>
      <c r="U164" s="539">
        <f t="shared" si="14"/>
        <v>850097.41665729578</v>
      </c>
      <c r="V164" s="947"/>
      <c r="W164" s="612">
        <f>T164</f>
        <v>46142</v>
      </c>
      <c r="X164" s="917"/>
      <c r="Y164" s="512"/>
      <c r="Z164" s="908"/>
    </row>
    <row r="165" spans="2:26" ht="14.25" customHeight="1">
      <c r="B165" s="312"/>
      <c r="C165" s="313"/>
      <c r="D165" s="325"/>
      <c r="E165" s="408"/>
      <c r="F165" s="454"/>
      <c r="G165" s="314"/>
      <c r="H165" s="707"/>
      <c r="I165" s="908"/>
      <c r="J165" s="908"/>
      <c r="K165" s="291"/>
      <c r="L165" s="312">
        <v>8</v>
      </c>
      <c r="M165" s="426" t="s">
        <v>1067</v>
      </c>
      <c r="N165" s="325"/>
      <c r="O165" s="579"/>
      <c r="P165" s="454"/>
      <c r="Q165" s="314"/>
      <c r="R165" s="892"/>
      <c r="S165" s="650"/>
      <c r="T165" s="555"/>
      <c r="U165" s="539">
        <f t="shared" si="14"/>
        <v>0</v>
      </c>
      <c r="V165" s="947"/>
      <c r="W165" s="612"/>
      <c r="X165" s="917"/>
      <c r="Y165" s="512"/>
      <c r="Z165" s="908"/>
    </row>
    <row r="166" spans="2:26" ht="14.25" customHeight="1">
      <c r="B166" s="312"/>
      <c r="C166" s="313"/>
      <c r="D166" s="325"/>
      <c r="E166" s="408"/>
      <c r="F166" s="454"/>
      <c r="G166" s="314"/>
      <c r="H166" s="707"/>
      <c r="I166" s="908"/>
      <c r="J166" s="908"/>
      <c r="K166" s="291"/>
      <c r="L166" s="312">
        <v>8</v>
      </c>
      <c r="M166" s="426" t="s">
        <v>1067</v>
      </c>
      <c r="N166" s="325" t="s">
        <v>1091</v>
      </c>
      <c r="O166" s="638">
        <v>0.5</v>
      </c>
      <c r="P166" s="454">
        <v>701966.6</v>
      </c>
      <c r="Q166" s="314">
        <f>P166*O166</f>
        <v>350983.3</v>
      </c>
      <c r="R166" s="892"/>
      <c r="S166" s="650"/>
      <c r="T166" s="555">
        <v>46081</v>
      </c>
      <c r="U166" s="539">
        <f t="shared" si="14"/>
        <v>268213.2760043391</v>
      </c>
      <c r="V166" s="947"/>
      <c r="W166" s="612">
        <v>46081</v>
      </c>
      <c r="X166" s="917"/>
      <c r="Y166" s="512"/>
      <c r="Z166" s="908"/>
    </row>
    <row r="167" spans="2:26" ht="14.25" customHeight="1">
      <c r="B167" s="312"/>
      <c r="C167" s="313"/>
      <c r="D167" s="325"/>
      <c r="E167" s="408"/>
      <c r="F167" s="454"/>
      <c r="G167" s="314"/>
      <c r="H167" s="707"/>
      <c r="I167" s="908"/>
      <c r="J167" s="908"/>
      <c r="K167" s="291"/>
      <c r="L167" s="312">
        <v>8</v>
      </c>
      <c r="M167" s="426" t="s">
        <v>1067</v>
      </c>
      <c r="N167" s="325" t="s">
        <v>1092</v>
      </c>
      <c r="O167" s="638">
        <v>0.5</v>
      </c>
      <c r="P167" s="454"/>
      <c r="Q167" s="314">
        <f>P166*O167</f>
        <v>350983.3</v>
      </c>
      <c r="R167" s="892"/>
      <c r="S167" s="650"/>
      <c r="T167" s="555">
        <v>46142</v>
      </c>
      <c r="U167" s="539">
        <f t="shared" si="14"/>
        <v>268213.2760043391</v>
      </c>
      <c r="V167" s="947"/>
      <c r="W167" s="612">
        <v>46142</v>
      </c>
      <c r="X167" s="917"/>
      <c r="Y167" s="512"/>
      <c r="Z167" s="908"/>
    </row>
    <row r="168" spans="2:26" ht="14.25" customHeight="1">
      <c r="B168" s="312"/>
      <c r="C168" s="313"/>
      <c r="D168" s="325"/>
      <c r="E168" s="408"/>
      <c r="F168" s="454"/>
      <c r="G168" s="314"/>
      <c r="H168" s="707"/>
      <c r="I168" s="908"/>
      <c r="J168" s="908"/>
      <c r="K168" s="291"/>
      <c r="L168" s="312">
        <v>8</v>
      </c>
      <c r="M168" s="426" t="s">
        <v>1067</v>
      </c>
      <c r="N168" s="325"/>
      <c r="O168" s="638"/>
      <c r="P168" s="454"/>
      <c r="Q168" s="314"/>
      <c r="R168" s="892"/>
      <c r="S168" s="650"/>
      <c r="T168" s="555"/>
      <c r="U168" s="539">
        <f t="shared" si="14"/>
        <v>0</v>
      </c>
      <c r="V168" s="947"/>
      <c r="W168" s="612"/>
      <c r="X168" s="917"/>
      <c r="Y168" s="512"/>
      <c r="Z168" s="908"/>
    </row>
    <row r="169" spans="2:26" ht="14.25" customHeight="1">
      <c r="B169" s="312">
        <v>8</v>
      </c>
      <c r="C169" s="313"/>
      <c r="D169" s="325"/>
      <c r="E169" s="408"/>
      <c r="F169" s="454"/>
      <c r="G169" s="314"/>
      <c r="H169" s="707"/>
      <c r="I169" s="908"/>
      <c r="J169" s="908"/>
      <c r="K169" s="291"/>
      <c r="L169" s="312">
        <v>8</v>
      </c>
      <c r="M169" s="426" t="s">
        <v>1067</v>
      </c>
      <c r="N169" s="325" t="s">
        <v>720</v>
      </c>
      <c r="O169" s="579">
        <v>20</v>
      </c>
      <c r="P169" s="454">
        <v>12000</v>
      </c>
      <c r="Q169" s="314">
        <v>240000</v>
      </c>
      <c r="R169" s="892"/>
      <c r="S169" s="650"/>
      <c r="T169" s="555">
        <f t="shared" si="12"/>
        <v>46142</v>
      </c>
      <c r="U169" s="539">
        <f t="shared" si="14"/>
        <v>183402.41897845679</v>
      </c>
      <c r="V169" s="947"/>
      <c r="W169" s="612">
        <v>46142</v>
      </c>
      <c r="X169" s="917"/>
      <c r="Y169" s="512"/>
      <c r="Z169" s="908"/>
    </row>
    <row r="170" spans="2:26" ht="14.25" customHeight="1">
      <c r="B170" s="312">
        <v>8</v>
      </c>
      <c r="C170" s="313"/>
      <c r="D170" s="325"/>
      <c r="E170" s="408"/>
      <c r="F170" s="454"/>
      <c r="G170" s="314"/>
      <c r="H170" s="707"/>
      <c r="I170" s="908"/>
      <c r="J170" s="908"/>
      <c r="K170" s="291"/>
      <c r="L170" s="312">
        <v>8</v>
      </c>
      <c r="M170" s="426" t="s">
        <v>1067</v>
      </c>
      <c r="N170" s="325"/>
      <c r="O170" s="579"/>
      <c r="P170" s="454"/>
      <c r="Q170" s="290"/>
      <c r="R170" s="898"/>
      <c r="S170" s="655"/>
      <c r="T170" s="558" t="str">
        <f t="shared" si="12"/>
        <v/>
      </c>
      <c r="U170" s="544">
        <f t="shared" si="14"/>
        <v>0</v>
      </c>
      <c r="V170" s="947"/>
      <c r="W170" s="615"/>
      <c r="X170" s="917"/>
      <c r="Y170" s="512"/>
      <c r="Z170" s="908"/>
    </row>
    <row r="171" spans="2:26" ht="14.25" customHeight="1">
      <c r="B171" s="312"/>
      <c r="C171" s="313"/>
      <c r="D171" s="325"/>
      <c r="E171" s="408"/>
      <c r="F171" s="454"/>
      <c r="G171" s="314"/>
      <c r="H171" s="707"/>
      <c r="I171" s="908"/>
      <c r="J171" s="908"/>
      <c r="K171" s="291"/>
      <c r="L171" s="312">
        <v>8</v>
      </c>
      <c r="M171" s="426" t="s">
        <v>1067</v>
      </c>
      <c r="N171" s="325"/>
      <c r="O171" s="579"/>
      <c r="P171" s="454"/>
      <c r="Q171" s="290"/>
      <c r="R171" s="898"/>
      <c r="S171" s="655"/>
      <c r="T171" s="558"/>
      <c r="U171" s="544">
        <f t="shared" si="14"/>
        <v>0</v>
      </c>
      <c r="V171" s="947"/>
      <c r="W171" s="615"/>
      <c r="X171" s="917"/>
      <c r="Y171" s="512"/>
      <c r="Z171" s="908"/>
    </row>
    <row r="172" spans="2:26" ht="14.25" customHeight="1">
      <c r="B172" s="312"/>
      <c r="C172" s="313"/>
      <c r="D172" s="325"/>
      <c r="E172" s="408"/>
      <c r="F172" s="454"/>
      <c r="G172" s="314"/>
      <c r="H172" s="707"/>
      <c r="I172" s="908"/>
      <c r="J172" s="908"/>
      <c r="K172" s="291"/>
      <c r="L172" s="312">
        <v>8</v>
      </c>
      <c r="M172" s="426" t="s">
        <v>1067</v>
      </c>
      <c r="N172" s="325" t="s">
        <v>1093</v>
      </c>
      <c r="O172" s="638">
        <v>0.5</v>
      </c>
      <c r="P172" s="454">
        <v>750000</v>
      </c>
      <c r="Q172" s="290">
        <f>O172*$P$172</f>
        <v>375000</v>
      </c>
      <c r="R172" s="898"/>
      <c r="S172" s="655"/>
      <c r="T172" s="558">
        <v>46112</v>
      </c>
      <c r="U172" s="544">
        <f t="shared" si="14"/>
        <v>286566.27965383872</v>
      </c>
      <c r="V172" s="947"/>
      <c r="W172" s="615">
        <f>T172-21</f>
        <v>46091</v>
      </c>
      <c r="X172" s="917"/>
      <c r="Y172" s="512"/>
      <c r="Z172" s="908"/>
    </row>
    <row r="173" spans="2:26" ht="14.25" customHeight="1">
      <c r="B173" s="312"/>
      <c r="C173" s="313"/>
      <c r="D173" s="325"/>
      <c r="E173" s="408"/>
      <c r="F173" s="454"/>
      <c r="G173" s="314"/>
      <c r="H173" s="707"/>
      <c r="I173" s="908"/>
      <c r="J173" s="908"/>
      <c r="K173" s="291"/>
      <c r="L173" s="312">
        <v>8</v>
      </c>
      <c r="M173" s="426" t="s">
        <v>1067</v>
      </c>
      <c r="N173" s="325" t="s">
        <v>1094</v>
      </c>
      <c r="O173" s="638">
        <v>0.5</v>
      </c>
      <c r="P173" s="454"/>
      <c r="Q173" s="290">
        <f>O173*$P$172</f>
        <v>375000</v>
      </c>
      <c r="R173" s="898"/>
      <c r="S173" s="655"/>
      <c r="T173" s="558">
        <v>46112</v>
      </c>
      <c r="U173" s="544">
        <f t="shared" si="14"/>
        <v>286566.27965383872</v>
      </c>
      <c r="V173" s="947"/>
      <c r="W173" s="615">
        <f>T173</f>
        <v>46112</v>
      </c>
      <c r="X173" s="917"/>
      <c r="Y173" s="512"/>
      <c r="Z173" s="908"/>
    </row>
    <row r="174" spans="2:26" ht="14.25" customHeight="1">
      <c r="B174" s="312"/>
      <c r="C174" s="313"/>
      <c r="D174" s="325"/>
      <c r="E174" s="408"/>
      <c r="F174" s="454"/>
      <c r="G174" s="314"/>
      <c r="H174" s="707"/>
      <c r="I174" s="908"/>
      <c r="J174" s="908"/>
      <c r="K174" s="291"/>
      <c r="L174" s="312">
        <v>8</v>
      </c>
      <c r="M174" s="426" t="s">
        <v>1067</v>
      </c>
      <c r="N174" s="325"/>
      <c r="O174" s="579"/>
      <c r="P174" s="454"/>
      <c r="Q174" s="290"/>
      <c r="R174" s="898"/>
      <c r="S174" s="655"/>
      <c r="T174" s="558"/>
      <c r="U174" s="544">
        <f t="shared" si="14"/>
        <v>0</v>
      </c>
      <c r="V174" s="947"/>
      <c r="W174" s="615"/>
      <c r="X174" s="917"/>
      <c r="Y174" s="512"/>
      <c r="Z174" s="908"/>
    </row>
    <row r="175" spans="2:26" ht="14.25" customHeight="1">
      <c r="B175" s="312">
        <v>8</v>
      </c>
      <c r="C175" s="313"/>
      <c r="D175" s="325"/>
      <c r="E175" s="408"/>
      <c r="F175" s="454"/>
      <c r="G175" s="314"/>
      <c r="H175" s="707"/>
      <c r="I175" s="908"/>
      <c r="J175" s="908"/>
      <c r="K175" s="291"/>
      <c r="L175" s="312">
        <v>8</v>
      </c>
      <c r="M175" s="426" t="s">
        <v>1067</v>
      </c>
      <c r="N175" s="289" t="s">
        <v>1095</v>
      </c>
      <c r="O175" s="578">
        <v>1</v>
      </c>
      <c r="P175" s="447">
        <v>1200000</v>
      </c>
      <c r="Q175" s="290">
        <f>P175*50%</f>
        <v>600000</v>
      </c>
      <c r="R175" s="898"/>
      <c r="S175" s="655"/>
      <c r="T175" s="558">
        <f t="shared" si="12"/>
        <v>46142</v>
      </c>
      <c r="U175" s="544">
        <f t="shared" si="14"/>
        <v>458506.04744614195</v>
      </c>
      <c r="V175" s="947"/>
      <c r="W175" s="615">
        <v>46142</v>
      </c>
      <c r="X175" s="917"/>
      <c r="Y175" s="512"/>
      <c r="Z175" s="908"/>
    </row>
    <row r="176" spans="2:26" ht="14.25" customHeight="1">
      <c r="B176" s="312">
        <v>8</v>
      </c>
      <c r="C176" s="313"/>
      <c r="D176" s="325"/>
      <c r="E176" s="408"/>
      <c r="F176" s="454"/>
      <c r="G176" s="314"/>
      <c r="H176" s="707"/>
      <c r="I176" s="908"/>
      <c r="J176" s="908"/>
      <c r="K176" s="291"/>
      <c r="L176" s="312">
        <v>8</v>
      </c>
      <c r="M176" s="426" t="s">
        <v>1067</v>
      </c>
      <c r="N176" s="289" t="s">
        <v>1096</v>
      </c>
      <c r="O176" s="408"/>
      <c r="P176" s="454"/>
      <c r="Q176" s="290">
        <f>P175*50%</f>
        <v>600000</v>
      </c>
      <c r="R176" s="898"/>
      <c r="S176" s="655"/>
      <c r="T176" s="558">
        <f t="shared" si="12"/>
        <v>46142</v>
      </c>
      <c r="U176" s="544">
        <f t="shared" si="14"/>
        <v>458506.04744614195</v>
      </c>
      <c r="V176" s="947"/>
      <c r="W176" s="615">
        <v>46142</v>
      </c>
      <c r="X176" s="917"/>
      <c r="Y176" s="512"/>
      <c r="Z176" s="908"/>
    </row>
    <row r="177" spans="1:26" ht="15" customHeight="1" thickBot="1">
      <c r="B177" s="312">
        <v>8</v>
      </c>
      <c r="C177" s="293"/>
      <c r="D177" s="294"/>
      <c r="E177" s="451"/>
      <c r="F177" s="448"/>
      <c r="G177" s="295"/>
      <c r="H177" s="703"/>
      <c r="I177" s="909"/>
      <c r="J177" s="909"/>
      <c r="K177" s="296"/>
      <c r="L177" s="292">
        <v>8</v>
      </c>
      <c r="M177" s="425" t="s">
        <v>1067</v>
      </c>
      <c r="N177" s="294"/>
      <c r="O177" s="451"/>
      <c r="P177" s="448"/>
      <c r="Q177" s="482"/>
      <c r="R177" s="893"/>
      <c r="S177" s="651"/>
      <c r="T177" s="558" t="str">
        <f t="shared" si="12"/>
        <v/>
      </c>
      <c r="U177" s="540">
        <f t="shared" si="14"/>
        <v>0</v>
      </c>
      <c r="V177" s="948"/>
      <c r="W177" s="613"/>
      <c r="X177" s="918"/>
      <c r="Y177" s="510"/>
      <c r="Z177" s="909"/>
    </row>
    <row r="178" spans="1:26" ht="22.5" customHeight="1" thickBot="1">
      <c r="A178" s="24"/>
      <c r="B178" s="326"/>
      <c r="C178" s="155"/>
      <c r="D178" s="155"/>
      <c r="E178" s="155"/>
      <c r="F178" s="462"/>
      <c r="G178" s="155"/>
      <c r="H178" s="708"/>
      <c r="I178" s="432"/>
      <c r="J178" s="433"/>
      <c r="K178" s="155" t="s">
        <v>1097</v>
      </c>
      <c r="L178" s="326"/>
      <c r="M178" s="155"/>
      <c r="N178" s="155"/>
      <c r="O178" s="165"/>
      <c r="P178" s="462"/>
      <c r="Q178" s="155"/>
      <c r="R178" s="901"/>
      <c r="S178" s="326"/>
      <c r="T178" s="561" t="str">
        <f t="shared" si="12"/>
        <v/>
      </c>
      <c r="U178" s="523"/>
      <c r="V178" s="523"/>
      <c r="W178" s="570"/>
      <c r="X178" s="432"/>
      <c r="Y178" s="326"/>
      <c r="Z178" s="491"/>
    </row>
    <row r="179" spans="1:26" ht="15" customHeight="1">
      <c r="B179" s="301">
        <v>9</v>
      </c>
      <c r="C179" s="435" t="s">
        <v>1098</v>
      </c>
      <c r="D179" s="317" t="s">
        <v>1099</v>
      </c>
      <c r="E179" s="304"/>
      <c r="F179" s="430"/>
      <c r="G179" s="305">
        <v>4724937</v>
      </c>
      <c r="H179" s="693">
        <v>45961</v>
      </c>
      <c r="I179" s="940">
        <f>SUM(G179:G215)</f>
        <v>12824829</v>
      </c>
      <c r="J179" s="913">
        <f>5135801.08695652+8804230.43478261</f>
        <v>13940031.521739129</v>
      </c>
      <c r="K179" s="278"/>
      <c r="L179" s="301">
        <v>9</v>
      </c>
      <c r="M179" s="416" t="s">
        <v>1100</v>
      </c>
      <c r="N179" s="317" t="s">
        <v>1101</v>
      </c>
      <c r="O179" s="882">
        <v>0.25</v>
      </c>
      <c r="P179" s="430">
        <v>0.3448859124087591</v>
      </c>
      <c r="Q179" s="305">
        <f>O179*$P$179*'Project Plan'!$J$3*1000</f>
        <v>1181234.25</v>
      </c>
      <c r="R179" s="873"/>
      <c r="S179" s="653"/>
      <c r="T179" s="557">
        <v>46112</v>
      </c>
      <c r="U179" s="542">
        <f t="shared" ref="U179:U214" si="18">(Q179/$X$179*$J$179)</f>
        <v>682090.94670379709</v>
      </c>
      <c r="V179" s="925">
        <f>J179-SUM(U179:U215)</f>
        <v>0</v>
      </c>
      <c r="W179" s="614">
        <v>46086</v>
      </c>
      <c r="X179" s="943">
        <f>SUM(Q179:Q215)</f>
        <v>24141124.815000001</v>
      </c>
      <c r="Y179" s="507"/>
      <c r="Z179" s="913">
        <f>I179-X179</f>
        <v>-11316295.815000001</v>
      </c>
    </row>
    <row r="180" spans="1:26" ht="15" customHeight="1">
      <c r="B180" s="301">
        <v>9</v>
      </c>
      <c r="C180" s="435"/>
      <c r="D180" s="318" t="s">
        <v>1102</v>
      </c>
      <c r="E180" s="304"/>
      <c r="F180" s="452"/>
      <c r="G180" s="305">
        <v>8099892</v>
      </c>
      <c r="H180" s="693">
        <v>45961</v>
      </c>
      <c r="I180" s="941"/>
      <c r="J180" s="914"/>
      <c r="K180" s="278"/>
      <c r="L180" s="301">
        <v>9</v>
      </c>
      <c r="M180" s="416" t="s">
        <v>1100</v>
      </c>
      <c r="N180" s="318" t="s">
        <v>1103</v>
      </c>
      <c r="O180" s="882">
        <v>0.125</v>
      </c>
      <c r="P180" s="452"/>
      <c r="Q180" s="305">
        <f>O180*$P$179*'Project Plan'!$J$3*1000</f>
        <v>590617.125</v>
      </c>
      <c r="R180" s="888"/>
      <c r="S180" s="645"/>
      <c r="T180" s="550">
        <f>IF(W180&gt;1,EOMONTH(W180,0),"")</f>
        <v>46142</v>
      </c>
      <c r="U180" s="534">
        <f t="shared" si="18"/>
        <v>341045.47335189854</v>
      </c>
      <c r="V180" s="926"/>
      <c r="W180" s="607">
        <v>46142</v>
      </c>
      <c r="X180" s="944"/>
      <c r="Y180" s="507"/>
      <c r="Z180" s="914"/>
    </row>
    <row r="181" spans="1:26" ht="15" customHeight="1">
      <c r="B181" s="375">
        <v>9</v>
      </c>
      <c r="C181" s="529"/>
      <c r="D181" s="377"/>
      <c r="E181" s="399"/>
      <c r="F181" s="437"/>
      <c r="G181" s="378"/>
      <c r="H181" s="694"/>
      <c r="I181" s="941"/>
      <c r="J181" s="914"/>
      <c r="K181" s="278"/>
      <c r="L181" s="375">
        <v>9</v>
      </c>
      <c r="M181" s="530" t="s">
        <v>1100</v>
      </c>
      <c r="N181" s="318" t="s">
        <v>1104</v>
      </c>
      <c r="O181" s="882">
        <v>0.125</v>
      </c>
      <c r="P181" s="437"/>
      <c r="Q181" s="378">
        <f>O181*$P$179*'Project Plan'!$J$3*1000</f>
        <v>590617.125</v>
      </c>
      <c r="R181" s="887"/>
      <c r="S181" s="646"/>
      <c r="T181" s="551">
        <f t="shared" si="12"/>
        <v>46173</v>
      </c>
      <c r="U181" s="535">
        <f t="shared" si="18"/>
        <v>341045.47335189854</v>
      </c>
      <c r="V181" s="926"/>
      <c r="W181" s="608">
        <v>46173</v>
      </c>
      <c r="X181" s="944"/>
      <c r="Y181" s="507"/>
      <c r="Z181" s="914"/>
    </row>
    <row r="182" spans="1:26" ht="15" customHeight="1">
      <c r="B182" s="375">
        <v>9</v>
      </c>
      <c r="C182" s="529"/>
      <c r="D182" s="377"/>
      <c r="E182" s="399"/>
      <c r="F182" s="437"/>
      <c r="G182" s="378"/>
      <c r="H182" s="694"/>
      <c r="I182" s="941"/>
      <c r="J182" s="914"/>
      <c r="K182" s="278"/>
      <c r="L182" s="375">
        <v>9</v>
      </c>
      <c r="M182" s="530" t="s">
        <v>1100</v>
      </c>
      <c r="N182" s="318" t="s">
        <v>1105</v>
      </c>
      <c r="O182" s="882">
        <v>0.125</v>
      </c>
      <c r="P182" s="437"/>
      <c r="Q182" s="378">
        <f>O182*$P$179*'Project Plan'!$J$3*1000</f>
        <v>590617.125</v>
      </c>
      <c r="R182" s="887"/>
      <c r="S182" s="646"/>
      <c r="T182" s="551">
        <f t="shared" si="12"/>
        <v>46203</v>
      </c>
      <c r="U182" s="535">
        <f t="shared" si="18"/>
        <v>341045.47335189854</v>
      </c>
      <c r="V182" s="926"/>
      <c r="W182" s="607">
        <v>46203</v>
      </c>
      <c r="X182" s="944"/>
      <c r="Y182" s="507"/>
      <c r="Z182" s="914"/>
    </row>
    <row r="183" spans="1:26" ht="15" customHeight="1">
      <c r="B183" s="375"/>
      <c r="C183" s="529"/>
      <c r="D183" s="377"/>
      <c r="E183" s="399"/>
      <c r="F183" s="437"/>
      <c r="G183" s="378"/>
      <c r="H183" s="694"/>
      <c r="I183" s="941"/>
      <c r="J183" s="914"/>
      <c r="K183" s="278"/>
      <c r="L183" s="375">
        <v>9</v>
      </c>
      <c r="M183" s="530" t="s">
        <v>1100</v>
      </c>
      <c r="N183" s="318" t="s">
        <v>1106</v>
      </c>
      <c r="O183" s="882">
        <v>0.125</v>
      </c>
      <c r="P183" s="437"/>
      <c r="Q183" s="378">
        <f>O183*$P$179*'Project Plan'!$J$3*1000</f>
        <v>590617.125</v>
      </c>
      <c r="R183" s="887"/>
      <c r="S183" s="646"/>
      <c r="T183" s="551">
        <f t="shared" ref="T183:T194" si="19">IF(W183&gt;1,EOMONTH(W183,0),"")</f>
        <v>46234</v>
      </c>
      <c r="U183" s="535">
        <f t="shared" ref="U183:U204" si="20">(Q183/$X$179*$J$179)</f>
        <v>341045.47335189854</v>
      </c>
      <c r="V183" s="926"/>
      <c r="W183" s="608">
        <v>46234</v>
      </c>
      <c r="X183" s="944"/>
      <c r="Y183" s="507"/>
      <c r="Z183" s="914"/>
    </row>
    <row r="184" spans="1:26" ht="15" customHeight="1">
      <c r="B184" s="375"/>
      <c r="C184" s="529"/>
      <c r="D184" s="377"/>
      <c r="E184" s="399"/>
      <c r="F184" s="437"/>
      <c r="G184" s="378"/>
      <c r="H184" s="694"/>
      <c r="I184" s="941"/>
      <c r="J184" s="914"/>
      <c r="K184" s="278"/>
      <c r="L184" s="375">
        <v>9</v>
      </c>
      <c r="M184" s="530" t="s">
        <v>1100</v>
      </c>
      <c r="N184" s="318" t="s">
        <v>1107</v>
      </c>
      <c r="O184" s="882">
        <v>0.19500000000000001</v>
      </c>
      <c r="P184" s="437"/>
      <c r="Q184" s="378">
        <f>O184*$P$179*'Project Plan'!$J$3*1000</f>
        <v>921362.71499999997</v>
      </c>
      <c r="R184" s="887"/>
      <c r="S184" s="646"/>
      <c r="T184" s="551">
        <f t="shared" si="19"/>
        <v>46265</v>
      </c>
      <c r="U184" s="535">
        <f t="shared" si="20"/>
        <v>532030.93842896167</v>
      </c>
      <c r="V184" s="926"/>
      <c r="W184" s="607">
        <v>46265</v>
      </c>
      <c r="X184" s="944"/>
      <c r="Y184" s="507"/>
      <c r="Z184" s="914"/>
    </row>
    <row r="185" spans="1:26" ht="15" customHeight="1">
      <c r="B185" s="375"/>
      <c r="C185" s="529"/>
      <c r="D185" s="377"/>
      <c r="E185" s="399"/>
      <c r="F185" s="437"/>
      <c r="G185" s="378"/>
      <c r="H185" s="694"/>
      <c r="I185" s="941"/>
      <c r="J185" s="914"/>
      <c r="K185" s="278"/>
      <c r="L185" s="375">
        <v>9</v>
      </c>
      <c r="M185" s="530" t="s">
        <v>1100</v>
      </c>
      <c r="N185" s="318" t="s">
        <v>1108</v>
      </c>
      <c r="O185" s="886">
        <v>2.5000000000000001E-2</v>
      </c>
      <c r="P185" s="437"/>
      <c r="Q185" s="378">
        <f>O185*$P$179*'Project Plan'!$J$3*1000</f>
        <v>118123.42499999999</v>
      </c>
      <c r="R185" s="887"/>
      <c r="S185" s="646"/>
      <c r="T185" s="551">
        <f t="shared" si="19"/>
        <v>46295</v>
      </c>
      <c r="U185" s="535">
        <f t="shared" si="20"/>
        <v>68209.094670379709</v>
      </c>
      <c r="V185" s="926"/>
      <c r="W185" s="608">
        <v>46295</v>
      </c>
      <c r="X185" s="944"/>
      <c r="Y185" s="507"/>
      <c r="Z185" s="914"/>
    </row>
    <row r="186" spans="1:26" ht="15" customHeight="1">
      <c r="B186" s="375"/>
      <c r="C186" s="529"/>
      <c r="D186" s="377"/>
      <c r="E186" s="399"/>
      <c r="F186" s="437"/>
      <c r="G186" s="378"/>
      <c r="H186" s="694"/>
      <c r="I186" s="941"/>
      <c r="J186" s="914"/>
      <c r="K186" s="278"/>
      <c r="L186" s="375">
        <v>9</v>
      </c>
      <c r="M186" s="530" t="s">
        <v>1100</v>
      </c>
      <c r="N186" s="377" t="s">
        <v>1109</v>
      </c>
      <c r="O186" s="885">
        <v>2.5000000000000001E-2</v>
      </c>
      <c r="P186" s="437"/>
      <c r="Q186" s="378">
        <f>O186*$P$179*'Project Plan'!$J$3*1000</f>
        <v>118123.42499999999</v>
      </c>
      <c r="R186" s="887"/>
      <c r="S186" s="646"/>
      <c r="T186" s="551">
        <v>46630</v>
      </c>
      <c r="U186" s="535">
        <f t="shared" si="20"/>
        <v>68209.094670379709</v>
      </c>
      <c r="V186" s="926"/>
      <c r="W186" s="607">
        <f>T186</f>
        <v>46630</v>
      </c>
      <c r="X186" s="944"/>
      <c r="Y186" s="507"/>
      <c r="Z186" s="914"/>
    </row>
    <row r="187" spans="1:26" ht="15" customHeight="1">
      <c r="B187" s="375"/>
      <c r="C187" s="529"/>
      <c r="D187" s="377"/>
      <c r="E187" s="399"/>
      <c r="F187" s="437"/>
      <c r="G187" s="378"/>
      <c r="H187" s="694"/>
      <c r="I187" s="941"/>
      <c r="J187" s="914"/>
      <c r="K187" s="278"/>
      <c r="L187" s="375">
        <v>9</v>
      </c>
      <c r="M187" s="530" t="s">
        <v>1100</v>
      </c>
      <c r="N187" s="377"/>
      <c r="O187" s="883"/>
      <c r="P187" s="437"/>
      <c r="Q187" s="378"/>
      <c r="R187" s="887"/>
      <c r="S187" s="646"/>
      <c r="T187" s="551" t="str">
        <f t="shared" ref="T187" si="21">IF(W187&gt;1,EOMONTH(W187,0),"")</f>
        <v/>
      </c>
      <c r="U187" s="535">
        <f t="shared" ref="U187" si="22">(Q187/$X$179*$J$179)</f>
        <v>0</v>
      </c>
      <c r="V187" s="926"/>
      <c r="W187" s="608"/>
      <c r="X187" s="944"/>
      <c r="Y187" s="507"/>
      <c r="Z187" s="914"/>
    </row>
    <row r="188" spans="1:26" ht="15" customHeight="1">
      <c r="B188" s="375"/>
      <c r="C188" s="529"/>
      <c r="D188" s="377"/>
      <c r="E188" s="399"/>
      <c r="F188" s="437"/>
      <c r="G188" s="378"/>
      <c r="H188" s="694"/>
      <c r="I188" s="941"/>
      <c r="J188" s="914"/>
      <c r="K188" s="278"/>
      <c r="L188" s="375">
        <v>9</v>
      </c>
      <c r="M188" s="530" t="s">
        <v>1100</v>
      </c>
      <c r="N188" s="377" t="s">
        <v>1110</v>
      </c>
      <c r="O188" s="883">
        <v>0.25</v>
      </c>
      <c r="P188" s="437">
        <v>1.36</v>
      </c>
      <c r="Q188" s="378">
        <f>O188*$P$188*10000*1000</f>
        <v>3400000.0000000005</v>
      </c>
      <c r="R188" s="887"/>
      <c r="S188" s="646"/>
      <c r="T188" s="551">
        <f>T179</f>
        <v>46112</v>
      </c>
      <c r="U188" s="535">
        <f t="shared" si="20"/>
        <v>1963293.2407715998</v>
      </c>
      <c r="V188" s="926"/>
      <c r="W188" s="608">
        <f>W179</f>
        <v>46086</v>
      </c>
      <c r="X188" s="944"/>
      <c r="Y188" s="507"/>
      <c r="Z188" s="914"/>
    </row>
    <row r="189" spans="1:26" ht="15" customHeight="1">
      <c r="B189" s="375"/>
      <c r="C189" s="529"/>
      <c r="D189" s="377"/>
      <c r="E189" s="399"/>
      <c r="F189" s="437"/>
      <c r="G189" s="378"/>
      <c r="H189" s="694"/>
      <c r="I189" s="941"/>
      <c r="J189" s="914"/>
      <c r="K189" s="278"/>
      <c r="L189" s="375">
        <v>9</v>
      </c>
      <c r="M189" s="530" t="s">
        <v>1100</v>
      </c>
      <c r="N189" s="377" t="s">
        <v>1111</v>
      </c>
      <c r="O189" s="883">
        <v>0.125</v>
      </c>
      <c r="P189" s="437"/>
      <c r="Q189" s="378">
        <f>O189*$P$188*10000*1000</f>
        <v>1700000.0000000002</v>
      </c>
      <c r="R189" s="887"/>
      <c r="S189" s="646"/>
      <c r="T189" s="551">
        <f t="shared" si="19"/>
        <v>46142</v>
      </c>
      <c r="U189" s="535">
        <f t="shared" si="20"/>
        <v>981646.62038579991</v>
      </c>
      <c r="V189" s="926"/>
      <c r="W189" s="608">
        <v>46142</v>
      </c>
      <c r="X189" s="944"/>
      <c r="Y189" s="507"/>
      <c r="Z189" s="914"/>
    </row>
    <row r="190" spans="1:26" ht="15" customHeight="1">
      <c r="B190" s="375"/>
      <c r="C190" s="529"/>
      <c r="D190" s="377"/>
      <c r="E190" s="399"/>
      <c r="F190" s="437"/>
      <c r="G190" s="378"/>
      <c r="H190" s="694"/>
      <c r="I190" s="941"/>
      <c r="J190" s="914"/>
      <c r="K190" s="278"/>
      <c r="L190" s="375">
        <v>9</v>
      </c>
      <c r="M190" s="530" t="s">
        <v>1100</v>
      </c>
      <c r="N190" s="377" t="s">
        <v>1112</v>
      </c>
      <c r="O190" s="883">
        <v>0.125</v>
      </c>
      <c r="P190" s="437"/>
      <c r="Q190" s="378">
        <f t="shared" ref="Q190:Q193" si="23">O190*$P$188*10000*1000</f>
        <v>1700000.0000000002</v>
      </c>
      <c r="R190" s="887"/>
      <c r="S190" s="646"/>
      <c r="T190" s="551">
        <f t="shared" si="19"/>
        <v>46173</v>
      </c>
      <c r="U190" s="535">
        <f t="shared" si="20"/>
        <v>981646.62038579991</v>
      </c>
      <c r="V190" s="926"/>
      <c r="W190" s="608">
        <v>46173</v>
      </c>
      <c r="X190" s="944"/>
      <c r="Y190" s="507"/>
      <c r="Z190" s="914"/>
    </row>
    <row r="191" spans="1:26" ht="15" customHeight="1">
      <c r="B191" s="375"/>
      <c r="C191" s="529"/>
      <c r="D191" s="377"/>
      <c r="E191" s="399"/>
      <c r="F191" s="437"/>
      <c r="G191" s="378"/>
      <c r="H191" s="694"/>
      <c r="I191" s="941"/>
      <c r="J191" s="914"/>
      <c r="K191" s="278"/>
      <c r="L191" s="375">
        <v>9</v>
      </c>
      <c r="M191" s="530" t="s">
        <v>1100</v>
      </c>
      <c r="N191" s="377" t="s">
        <v>1113</v>
      </c>
      <c r="O191" s="883">
        <v>0.125</v>
      </c>
      <c r="P191" s="437"/>
      <c r="Q191" s="378">
        <f t="shared" si="23"/>
        <v>1700000.0000000002</v>
      </c>
      <c r="R191" s="887"/>
      <c r="S191" s="646"/>
      <c r="T191" s="551">
        <f t="shared" si="19"/>
        <v>46203</v>
      </c>
      <c r="U191" s="535">
        <f t="shared" si="20"/>
        <v>981646.62038579991</v>
      </c>
      <c r="V191" s="926"/>
      <c r="W191" s="608">
        <v>46203</v>
      </c>
      <c r="X191" s="944"/>
      <c r="Y191" s="507"/>
      <c r="Z191" s="914"/>
    </row>
    <row r="192" spans="1:26" ht="15" customHeight="1">
      <c r="B192" s="375"/>
      <c r="C192" s="529"/>
      <c r="D192" s="377"/>
      <c r="E192" s="399"/>
      <c r="F192" s="437"/>
      <c r="G192" s="378"/>
      <c r="H192" s="694"/>
      <c r="I192" s="941"/>
      <c r="J192" s="914"/>
      <c r="K192" s="278"/>
      <c r="L192" s="375">
        <v>9</v>
      </c>
      <c r="M192" s="530" t="s">
        <v>1100</v>
      </c>
      <c r="N192" s="377" t="s">
        <v>1114</v>
      </c>
      <c r="O192" s="883">
        <v>0.125</v>
      </c>
      <c r="P192" s="437"/>
      <c r="Q192" s="378">
        <f t="shared" si="23"/>
        <v>1700000.0000000002</v>
      </c>
      <c r="R192" s="887"/>
      <c r="S192" s="646"/>
      <c r="T192" s="551">
        <f t="shared" si="19"/>
        <v>46234</v>
      </c>
      <c r="U192" s="535">
        <f t="shared" si="20"/>
        <v>981646.62038579991</v>
      </c>
      <c r="V192" s="926"/>
      <c r="W192" s="608">
        <v>46234</v>
      </c>
      <c r="X192" s="944"/>
      <c r="Y192" s="507"/>
      <c r="Z192" s="914"/>
    </row>
    <row r="193" spans="2:26" ht="15" customHeight="1">
      <c r="B193" s="375"/>
      <c r="C193" s="529"/>
      <c r="D193" s="377"/>
      <c r="E193" s="399"/>
      <c r="F193" s="437"/>
      <c r="G193" s="378"/>
      <c r="H193" s="694"/>
      <c r="I193" s="941"/>
      <c r="J193" s="914"/>
      <c r="K193" s="278"/>
      <c r="L193" s="375">
        <v>9</v>
      </c>
      <c r="M193" s="530" t="s">
        <v>1100</v>
      </c>
      <c r="N193" s="377" t="s">
        <v>1115</v>
      </c>
      <c r="O193" s="883">
        <v>0.19500000000000001</v>
      </c>
      <c r="P193" s="437"/>
      <c r="Q193" s="378">
        <f t="shared" si="23"/>
        <v>2652000.0000000005</v>
      </c>
      <c r="R193" s="887"/>
      <c r="S193" s="646"/>
      <c r="T193" s="551">
        <f t="shared" si="19"/>
        <v>46265</v>
      </c>
      <c r="U193" s="535">
        <f t="shared" si="20"/>
        <v>1531368.7278018482</v>
      </c>
      <c r="V193" s="926"/>
      <c r="W193" s="608">
        <v>46265</v>
      </c>
      <c r="X193" s="944"/>
      <c r="Y193" s="507"/>
      <c r="Z193" s="914"/>
    </row>
    <row r="194" spans="2:26" ht="15" customHeight="1">
      <c r="B194" s="375"/>
      <c r="C194" s="529"/>
      <c r="D194" s="377"/>
      <c r="E194" s="399"/>
      <c r="F194" s="437"/>
      <c r="G194" s="378"/>
      <c r="H194" s="694"/>
      <c r="I194" s="941"/>
      <c r="J194" s="914"/>
      <c r="K194" s="278"/>
      <c r="L194" s="375">
        <v>9</v>
      </c>
      <c r="M194" s="530" t="s">
        <v>1100</v>
      </c>
      <c r="N194" s="377" t="s">
        <v>1116</v>
      </c>
      <c r="O194" s="886">
        <v>2.5000000000000001E-2</v>
      </c>
      <c r="P194" s="437"/>
      <c r="Q194" s="378">
        <f>O194*$P$188*10000*1000</f>
        <v>340000</v>
      </c>
      <c r="R194" s="887"/>
      <c r="S194" s="646"/>
      <c r="T194" s="551">
        <f t="shared" si="19"/>
        <v>46295</v>
      </c>
      <c r="U194" s="535">
        <f t="shared" si="20"/>
        <v>196329.32407715995</v>
      </c>
      <c r="V194" s="926"/>
      <c r="W194" s="608">
        <v>46295</v>
      </c>
      <c r="X194" s="944"/>
      <c r="Y194" s="507"/>
      <c r="Z194" s="914"/>
    </row>
    <row r="195" spans="2:26" ht="15" customHeight="1">
      <c r="B195" s="375"/>
      <c r="C195" s="529"/>
      <c r="D195" s="377"/>
      <c r="E195" s="399"/>
      <c r="F195" s="437"/>
      <c r="G195" s="378"/>
      <c r="H195" s="694"/>
      <c r="I195" s="941"/>
      <c r="J195" s="914"/>
      <c r="K195" s="278"/>
      <c r="L195" s="375">
        <v>9</v>
      </c>
      <c r="M195" s="530" t="s">
        <v>1100</v>
      </c>
      <c r="N195" s="377" t="s">
        <v>1117</v>
      </c>
      <c r="O195" s="885">
        <v>2.5000000000000001E-2</v>
      </c>
      <c r="P195" s="437"/>
      <c r="Q195" s="378">
        <f>O195*$P$188*10000*1000</f>
        <v>340000</v>
      </c>
      <c r="R195" s="887"/>
      <c r="S195" s="646"/>
      <c r="T195" s="551">
        <v>46630</v>
      </c>
      <c r="U195" s="535">
        <f t="shared" si="20"/>
        <v>196329.32407715995</v>
      </c>
      <c r="V195" s="926"/>
      <c r="W195" s="607">
        <f>T195</f>
        <v>46630</v>
      </c>
      <c r="X195" s="944"/>
      <c r="Y195" s="507"/>
      <c r="Z195" s="914"/>
    </row>
    <row r="196" spans="2:26" ht="15" customHeight="1">
      <c r="B196" s="375"/>
      <c r="C196" s="529"/>
      <c r="D196" s="377"/>
      <c r="E196" s="399"/>
      <c r="F196" s="437"/>
      <c r="G196" s="378"/>
      <c r="H196" s="694"/>
      <c r="I196" s="941"/>
      <c r="J196" s="914"/>
      <c r="K196" s="278"/>
      <c r="L196" s="375">
        <v>9</v>
      </c>
      <c r="M196" s="530" t="s">
        <v>1100</v>
      </c>
      <c r="N196" s="377"/>
      <c r="O196" s="883"/>
      <c r="P196" s="437"/>
      <c r="Q196" s="378"/>
      <c r="R196" s="887"/>
      <c r="S196" s="646"/>
      <c r="T196" s="551" t="str">
        <f t="shared" ref="T196" si="24">IF(W196&gt;1,EOMONTH(W196,0),"")</f>
        <v/>
      </c>
      <c r="U196" s="535">
        <f t="shared" ref="U196" si="25">(Q196/$X$179*$J$179)</f>
        <v>0</v>
      </c>
      <c r="V196" s="926"/>
      <c r="W196" s="608"/>
      <c r="X196" s="944"/>
      <c r="Y196" s="507"/>
      <c r="Z196" s="914"/>
    </row>
    <row r="197" spans="2:26" ht="15" customHeight="1">
      <c r="B197" s="375"/>
      <c r="C197" s="529"/>
      <c r="D197" s="377"/>
      <c r="E197" s="399"/>
      <c r="F197" s="437"/>
      <c r="G197" s="378"/>
      <c r="H197" s="694"/>
      <c r="I197" s="941"/>
      <c r="J197" s="914"/>
      <c r="K197" s="278"/>
      <c r="L197" s="375">
        <v>9</v>
      </c>
      <c r="M197" s="530" t="s">
        <v>1100</v>
      </c>
      <c r="N197" s="377" t="s">
        <v>1118</v>
      </c>
      <c r="O197" s="883">
        <v>0.25</v>
      </c>
      <c r="P197" s="437">
        <v>1.5</v>
      </c>
      <c r="Q197" s="378">
        <f>O197*$P$197*3500*1000</f>
        <v>1312500</v>
      </c>
      <c r="R197" s="887"/>
      <c r="S197" s="646"/>
      <c r="T197" s="551">
        <f>T179</f>
        <v>46112</v>
      </c>
      <c r="U197" s="535">
        <f t="shared" si="20"/>
        <v>757888.93485668371</v>
      </c>
      <c r="V197" s="926"/>
      <c r="W197" s="608">
        <f>W179</f>
        <v>46086</v>
      </c>
      <c r="X197" s="944"/>
      <c r="Y197" s="507"/>
      <c r="Z197" s="914"/>
    </row>
    <row r="198" spans="2:26" ht="15" customHeight="1">
      <c r="B198" s="375"/>
      <c r="C198" s="529"/>
      <c r="D198" s="377"/>
      <c r="E198" s="399"/>
      <c r="F198" s="437"/>
      <c r="G198" s="378"/>
      <c r="H198" s="694"/>
      <c r="I198" s="941"/>
      <c r="J198" s="914"/>
      <c r="K198" s="278"/>
      <c r="L198" s="375">
        <v>9</v>
      </c>
      <c r="M198" s="530" t="s">
        <v>1100</v>
      </c>
      <c r="N198" s="377" t="s">
        <v>1119</v>
      </c>
      <c r="O198" s="883">
        <v>0.125</v>
      </c>
      <c r="P198" s="437"/>
      <c r="Q198" s="378">
        <f t="shared" ref="Q198:Q204" si="26">O198*$P$197*3500*1000</f>
        <v>656250</v>
      </c>
      <c r="R198" s="887"/>
      <c r="S198" s="646"/>
      <c r="T198" s="551">
        <f t="shared" ref="T198:T203" si="27">IF(W198&gt;1,EOMONTH(W198,0),"")</f>
        <v>46142</v>
      </c>
      <c r="U198" s="535">
        <f t="shared" si="20"/>
        <v>378944.46742834186</v>
      </c>
      <c r="V198" s="926"/>
      <c r="W198" s="608">
        <v>46142</v>
      </c>
      <c r="X198" s="944"/>
      <c r="Y198" s="507"/>
      <c r="Z198" s="914"/>
    </row>
    <row r="199" spans="2:26" ht="15" customHeight="1">
      <c r="B199" s="375"/>
      <c r="C199" s="529"/>
      <c r="D199" s="377"/>
      <c r="E199" s="399"/>
      <c r="F199" s="437"/>
      <c r="G199" s="378"/>
      <c r="H199" s="694"/>
      <c r="I199" s="941"/>
      <c r="J199" s="914"/>
      <c r="K199" s="278"/>
      <c r="L199" s="375">
        <v>9</v>
      </c>
      <c r="M199" s="530" t="s">
        <v>1100</v>
      </c>
      <c r="N199" s="377" t="s">
        <v>1120</v>
      </c>
      <c r="O199" s="883">
        <v>0.125</v>
      </c>
      <c r="P199" s="437"/>
      <c r="Q199" s="378">
        <f t="shared" si="26"/>
        <v>656250</v>
      </c>
      <c r="R199" s="887"/>
      <c r="S199" s="646"/>
      <c r="T199" s="551">
        <f t="shared" si="27"/>
        <v>46173</v>
      </c>
      <c r="U199" s="535">
        <f t="shared" si="20"/>
        <v>378944.46742834186</v>
      </c>
      <c r="V199" s="926"/>
      <c r="W199" s="608">
        <v>46173</v>
      </c>
      <c r="X199" s="944"/>
      <c r="Y199" s="507"/>
      <c r="Z199" s="914"/>
    </row>
    <row r="200" spans="2:26" ht="15" customHeight="1">
      <c r="B200" s="375"/>
      <c r="C200" s="529"/>
      <c r="D200" s="377"/>
      <c r="E200" s="399"/>
      <c r="F200" s="437"/>
      <c r="G200" s="378"/>
      <c r="H200" s="694"/>
      <c r="I200" s="941"/>
      <c r="J200" s="914"/>
      <c r="K200" s="278"/>
      <c r="L200" s="375">
        <v>9</v>
      </c>
      <c r="M200" s="530" t="s">
        <v>1100</v>
      </c>
      <c r="N200" s="377" t="s">
        <v>1121</v>
      </c>
      <c r="O200" s="883">
        <v>0.125</v>
      </c>
      <c r="P200" s="437"/>
      <c r="Q200" s="378">
        <f t="shared" si="26"/>
        <v>656250</v>
      </c>
      <c r="R200" s="887"/>
      <c r="S200" s="646"/>
      <c r="T200" s="551">
        <f t="shared" si="27"/>
        <v>46203</v>
      </c>
      <c r="U200" s="535">
        <f t="shared" si="20"/>
        <v>378944.46742834186</v>
      </c>
      <c r="V200" s="926"/>
      <c r="W200" s="608">
        <v>46203</v>
      </c>
      <c r="X200" s="944"/>
      <c r="Y200" s="507"/>
      <c r="Z200" s="914"/>
    </row>
    <row r="201" spans="2:26" ht="15" customHeight="1">
      <c r="B201" s="375"/>
      <c r="C201" s="529"/>
      <c r="D201" s="377"/>
      <c r="E201" s="399"/>
      <c r="F201" s="437"/>
      <c r="G201" s="378"/>
      <c r="H201" s="694"/>
      <c r="I201" s="941"/>
      <c r="J201" s="914"/>
      <c r="K201" s="278"/>
      <c r="L201" s="375">
        <v>9</v>
      </c>
      <c r="M201" s="530" t="s">
        <v>1100</v>
      </c>
      <c r="N201" s="377" t="s">
        <v>1122</v>
      </c>
      <c r="O201" s="883">
        <v>0.125</v>
      </c>
      <c r="P201" s="437"/>
      <c r="Q201" s="378">
        <f t="shared" si="26"/>
        <v>656250</v>
      </c>
      <c r="R201" s="887"/>
      <c r="S201" s="646"/>
      <c r="T201" s="551">
        <f t="shared" si="27"/>
        <v>46234</v>
      </c>
      <c r="U201" s="535">
        <f t="shared" si="20"/>
        <v>378944.46742834186</v>
      </c>
      <c r="V201" s="926"/>
      <c r="W201" s="608">
        <v>46234</v>
      </c>
      <c r="X201" s="944"/>
      <c r="Y201" s="507"/>
      <c r="Z201" s="914"/>
    </row>
    <row r="202" spans="2:26" ht="15" customHeight="1">
      <c r="B202" s="375"/>
      <c r="C202" s="529"/>
      <c r="D202" s="377"/>
      <c r="E202" s="399"/>
      <c r="F202" s="437"/>
      <c r="G202" s="378"/>
      <c r="H202" s="694"/>
      <c r="I202" s="941"/>
      <c r="J202" s="914"/>
      <c r="K202" s="278"/>
      <c r="L202" s="375">
        <v>9</v>
      </c>
      <c r="M202" s="530" t="s">
        <v>1100</v>
      </c>
      <c r="N202" s="377" t="s">
        <v>1123</v>
      </c>
      <c r="O202" s="883">
        <v>0.19500000000000001</v>
      </c>
      <c r="P202" s="437"/>
      <c r="Q202" s="378">
        <f t="shared" si="26"/>
        <v>1023749.9999999999</v>
      </c>
      <c r="R202" s="887"/>
      <c r="S202" s="646"/>
      <c r="T202" s="551">
        <f t="shared" si="27"/>
        <v>46265</v>
      </c>
      <c r="U202" s="535">
        <f t="shared" si="20"/>
        <v>591153.36918821326</v>
      </c>
      <c r="V202" s="926"/>
      <c r="W202" s="608">
        <v>46265</v>
      </c>
      <c r="X202" s="944"/>
      <c r="Y202" s="507"/>
      <c r="Z202" s="914"/>
    </row>
    <row r="203" spans="2:26" ht="15" customHeight="1">
      <c r="B203" s="375"/>
      <c r="C203" s="529"/>
      <c r="D203" s="377"/>
      <c r="E203" s="399"/>
      <c r="F203" s="437"/>
      <c r="G203" s="378"/>
      <c r="H203" s="694"/>
      <c r="I203" s="941"/>
      <c r="J203" s="914"/>
      <c r="K203" s="278"/>
      <c r="L203" s="375">
        <v>9</v>
      </c>
      <c r="M203" s="530" t="s">
        <v>1100</v>
      </c>
      <c r="N203" s="377" t="s">
        <v>1124</v>
      </c>
      <c r="O203" s="886">
        <v>2.5000000000000001E-2</v>
      </c>
      <c r="P203" s="437"/>
      <c r="Q203" s="378">
        <f t="shared" si="26"/>
        <v>131250.00000000003</v>
      </c>
      <c r="R203" s="887"/>
      <c r="S203" s="646"/>
      <c r="T203" s="551">
        <f t="shared" si="27"/>
        <v>46295</v>
      </c>
      <c r="U203" s="535">
        <f t="shared" si="20"/>
        <v>75788.893485668392</v>
      </c>
      <c r="V203" s="926"/>
      <c r="W203" s="608">
        <v>46295</v>
      </c>
      <c r="X203" s="944"/>
      <c r="Y203" s="507"/>
      <c r="Z203" s="914"/>
    </row>
    <row r="204" spans="2:26" ht="15" customHeight="1">
      <c r="B204" s="375"/>
      <c r="C204" s="529"/>
      <c r="D204" s="377"/>
      <c r="E204" s="399"/>
      <c r="F204" s="437"/>
      <c r="G204" s="378"/>
      <c r="H204" s="694"/>
      <c r="I204" s="941"/>
      <c r="J204" s="914"/>
      <c r="K204" s="278"/>
      <c r="L204" s="375">
        <v>9</v>
      </c>
      <c r="M204" s="530" t="s">
        <v>1100</v>
      </c>
      <c r="N204" s="377" t="s">
        <v>1125</v>
      </c>
      <c r="O204" s="885">
        <v>2.5000000000000001E-2</v>
      </c>
      <c r="P204" s="437"/>
      <c r="Q204" s="378">
        <f t="shared" si="26"/>
        <v>131250.00000000003</v>
      </c>
      <c r="R204" s="887"/>
      <c r="S204" s="646"/>
      <c r="T204" s="551">
        <v>46630</v>
      </c>
      <c r="U204" s="535">
        <f t="shared" si="20"/>
        <v>75788.893485668392</v>
      </c>
      <c r="V204" s="926"/>
      <c r="W204" s="607">
        <f>T204</f>
        <v>46630</v>
      </c>
      <c r="X204" s="944"/>
      <c r="Y204" s="507"/>
      <c r="Z204" s="914"/>
    </row>
    <row r="205" spans="2:26" ht="15" customHeight="1">
      <c r="B205" s="375"/>
      <c r="C205" s="529"/>
      <c r="D205" s="377"/>
      <c r="E205" s="399"/>
      <c r="F205" s="437"/>
      <c r="G205" s="378"/>
      <c r="H205" s="694"/>
      <c r="I205" s="941"/>
      <c r="J205" s="914"/>
      <c r="K205" s="278"/>
      <c r="L205" s="375">
        <v>9</v>
      </c>
      <c r="M205" s="530" t="s">
        <v>1100</v>
      </c>
      <c r="N205" s="377"/>
      <c r="O205" s="883"/>
      <c r="P205" s="437"/>
      <c r="Q205" s="378"/>
      <c r="R205" s="887"/>
      <c r="S205" s="646"/>
      <c r="T205" s="551" t="str">
        <f t="shared" ref="T205" si="28">IF(W205&gt;1,EOMONTH(W205,0),"")</f>
        <v/>
      </c>
      <c r="U205" s="535">
        <f t="shared" ref="U205" si="29">(Q205/$X$179*$J$179)</f>
        <v>0</v>
      </c>
      <c r="V205" s="926"/>
      <c r="W205" s="608"/>
      <c r="X205" s="944"/>
      <c r="Y205" s="507"/>
      <c r="Z205" s="914"/>
    </row>
    <row r="206" spans="2:26" ht="15" customHeight="1">
      <c r="B206" s="375">
        <v>9</v>
      </c>
      <c r="C206" s="529"/>
      <c r="D206" s="377"/>
      <c r="E206" s="399"/>
      <c r="F206" s="437"/>
      <c r="G206" s="378"/>
      <c r="H206" s="694"/>
      <c r="I206" s="941"/>
      <c r="J206" s="914"/>
      <c r="K206" s="278"/>
      <c r="L206" s="375">
        <v>9</v>
      </c>
      <c r="M206" s="530" t="s">
        <v>1100</v>
      </c>
      <c r="N206" s="377" t="s">
        <v>1126</v>
      </c>
      <c r="O206" s="883">
        <v>0.25</v>
      </c>
      <c r="P206" s="437">
        <v>2.75</v>
      </c>
      <c r="Q206" s="378">
        <f>O206*$P$206*250*1000</f>
        <v>171875</v>
      </c>
      <c r="R206" s="887"/>
      <c r="S206" s="646"/>
      <c r="T206" s="551">
        <f>T179</f>
        <v>46112</v>
      </c>
      <c r="U206" s="535">
        <f t="shared" si="18"/>
        <v>99247.360516946675</v>
      </c>
      <c r="V206" s="926"/>
      <c r="W206" s="608">
        <f>W179</f>
        <v>46086</v>
      </c>
      <c r="X206" s="944"/>
      <c r="Y206" s="507"/>
      <c r="Z206" s="914"/>
    </row>
    <row r="207" spans="2:26" ht="15" customHeight="1">
      <c r="B207" s="375">
        <v>9</v>
      </c>
      <c r="C207" s="529"/>
      <c r="D207" s="377"/>
      <c r="E207" s="399"/>
      <c r="F207" s="437"/>
      <c r="G207" s="378"/>
      <c r="H207" s="694"/>
      <c r="I207" s="941"/>
      <c r="J207" s="914"/>
      <c r="K207" s="278"/>
      <c r="L207" s="375">
        <v>9</v>
      </c>
      <c r="M207" s="530" t="s">
        <v>1100</v>
      </c>
      <c r="N207" s="377" t="s">
        <v>1127</v>
      </c>
      <c r="O207" s="883">
        <v>0.125</v>
      </c>
      <c r="P207" s="437"/>
      <c r="Q207" s="378">
        <f t="shared" ref="Q207:Q211" si="30">O207*$P$206*250*1000</f>
        <v>85937.5</v>
      </c>
      <c r="R207" s="887"/>
      <c r="S207" s="646"/>
      <c r="T207" s="551">
        <f t="shared" ref="T207:T212" si="31">IF(W207&gt;1,EOMONTH(W207,0),"")</f>
        <v>46142</v>
      </c>
      <c r="U207" s="535">
        <f t="shared" si="18"/>
        <v>49623.680258473338</v>
      </c>
      <c r="V207" s="926"/>
      <c r="W207" s="608">
        <v>46142</v>
      </c>
      <c r="X207" s="944"/>
      <c r="Y207" s="507"/>
      <c r="Z207" s="914"/>
    </row>
    <row r="208" spans="2:26" ht="15" customHeight="1">
      <c r="B208" s="375">
        <v>9</v>
      </c>
      <c r="C208" s="529"/>
      <c r="D208" s="377"/>
      <c r="E208" s="399"/>
      <c r="F208" s="437"/>
      <c r="G208" s="378"/>
      <c r="H208" s="694"/>
      <c r="I208" s="941"/>
      <c r="J208" s="914"/>
      <c r="K208" s="278"/>
      <c r="L208" s="375">
        <v>9</v>
      </c>
      <c r="M208" s="530" t="s">
        <v>1100</v>
      </c>
      <c r="N208" s="377" t="s">
        <v>1128</v>
      </c>
      <c r="O208" s="883">
        <v>0.125</v>
      </c>
      <c r="P208" s="437"/>
      <c r="Q208" s="378">
        <f t="shared" si="30"/>
        <v>85937.5</v>
      </c>
      <c r="R208" s="887"/>
      <c r="S208" s="646"/>
      <c r="T208" s="551">
        <f t="shared" si="31"/>
        <v>46173</v>
      </c>
      <c r="U208" s="535">
        <f t="shared" si="18"/>
        <v>49623.680258473338</v>
      </c>
      <c r="V208" s="926"/>
      <c r="W208" s="608">
        <v>46173</v>
      </c>
      <c r="X208" s="944"/>
      <c r="Y208" s="507"/>
      <c r="Z208" s="914"/>
    </row>
    <row r="209" spans="1:26" ht="15" customHeight="1">
      <c r="B209" s="375">
        <v>9</v>
      </c>
      <c r="C209" s="529"/>
      <c r="D209" s="377"/>
      <c r="E209" s="399"/>
      <c r="F209" s="437"/>
      <c r="G209" s="378"/>
      <c r="H209" s="694"/>
      <c r="I209" s="941"/>
      <c r="J209" s="914"/>
      <c r="K209" s="278"/>
      <c r="L209" s="375">
        <v>9</v>
      </c>
      <c r="M209" s="530" t="s">
        <v>1100</v>
      </c>
      <c r="N209" s="377" t="s">
        <v>1129</v>
      </c>
      <c r="O209" s="883">
        <v>0.125</v>
      </c>
      <c r="P209" s="437"/>
      <c r="Q209" s="378">
        <f t="shared" si="30"/>
        <v>85937.5</v>
      </c>
      <c r="R209" s="887"/>
      <c r="S209" s="646"/>
      <c r="T209" s="551">
        <f t="shared" si="31"/>
        <v>46203</v>
      </c>
      <c r="U209" s="535">
        <f t="shared" si="18"/>
        <v>49623.680258473338</v>
      </c>
      <c r="V209" s="926"/>
      <c r="W209" s="608">
        <v>46203</v>
      </c>
      <c r="X209" s="944"/>
      <c r="Y209" s="507"/>
      <c r="Z209" s="914"/>
    </row>
    <row r="210" spans="1:26" ht="15" customHeight="1">
      <c r="B210" s="375">
        <v>9</v>
      </c>
      <c r="C210" s="529"/>
      <c r="D210" s="377"/>
      <c r="E210" s="399"/>
      <c r="F210" s="437"/>
      <c r="G210" s="378"/>
      <c r="H210" s="694"/>
      <c r="I210" s="941"/>
      <c r="J210" s="914"/>
      <c r="K210" s="278"/>
      <c r="L210" s="375">
        <v>9</v>
      </c>
      <c r="M210" s="530" t="s">
        <v>1100</v>
      </c>
      <c r="N210" s="377" t="s">
        <v>1130</v>
      </c>
      <c r="O210" s="883">
        <v>0.125</v>
      </c>
      <c r="P210" s="437"/>
      <c r="Q210" s="378">
        <f t="shared" si="30"/>
        <v>85937.5</v>
      </c>
      <c r="R210" s="887"/>
      <c r="S210" s="646"/>
      <c r="T210" s="551">
        <f t="shared" si="31"/>
        <v>46234</v>
      </c>
      <c r="U210" s="535">
        <f t="shared" si="18"/>
        <v>49623.680258473338</v>
      </c>
      <c r="V210" s="926"/>
      <c r="W210" s="608">
        <v>46234</v>
      </c>
      <c r="X210" s="944"/>
      <c r="Y210" s="507"/>
      <c r="Z210" s="914"/>
    </row>
    <row r="211" spans="1:26" ht="15" customHeight="1">
      <c r="B211" s="375">
        <v>9</v>
      </c>
      <c r="C211" s="529"/>
      <c r="D211" s="377"/>
      <c r="E211" s="399"/>
      <c r="F211" s="437"/>
      <c r="G211" s="378"/>
      <c r="H211" s="694"/>
      <c r="I211" s="941"/>
      <c r="J211" s="914"/>
      <c r="K211" s="278"/>
      <c r="L211" s="375">
        <v>9</v>
      </c>
      <c r="M211" s="530" t="s">
        <v>1100</v>
      </c>
      <c r="N211" s="377" t="s">
        <v>1131</v>
      </c>
      <c r="O211" s="883">
        <v>0.19500000000000001</v>
      </c>
      <c r="P211" s="437"/>
      <c r="Q211" s="378">
        <f t="shared" si="30"/>
        <v>134062.5</v>
      </c>
      <c r="R211" s="887"/>
      <c r="S211" s="646"/>
      <c r="T211" s="551">
        <f t="shared" si="31"/>
        <v>46265</v>
      </c>
      <c r="U211" s="535">
        <f t="shared" si="18"/>
        <v>77412.941203218405</v>
      </c>
      <c r="V211" s="926"/>
      <c r="W211" s="608">
        <v>46265</v>
      </c>
      <c r="X211" s="944"/>
      <c r="Y211" s="507"/>
      <c r="Z211" s="914"/>
    </row>
    <row r="212" spans="1:26" ht="15" customHeight="1">
      <c r="B212" s="375">
        <v>9</v>
      </c>
      <c r="C212" s="529"/>
      <c r="D212" s="377"/>
      <c r="E212" s="399"/>
      <c r="F212" s="437"/>
      <c r="G212" s="378"/>
      <c r="H212" s="694"/>
      <c r="I212" s="941"/>
      <c r="J212" s="914"/>
      <c r="K212" s="278"/>
      <c r="L212" s="375">
        <v>9</v>
      </c>
      <c r="M212" s="530" t="s">
        <v>1100</v>
      </c>
      <c r="N212" s="377" t="s">
        <v>1132</v>
      </c>
      <c r="O212" s="886">
        <v>2.5000000000000001E-2</v>
      </c>
      <c r="P212" s="437"/>
      <c r="Q212" s="378">
        <f>O212*$P$206*250*1000</f>
        <v>17187.5</v>
      </c>
      <c r="R212" s="887"/>
      <c r="S212" s="646"/>
      <c r="T212" s="551">
        <f t="shared" si="31"/>
        <v>46295</v>
      </c>
      <c r="U212" s="535">
        <f t="shared" si="18"/>
        <v>9924.7360516946683</v>
      </c>
      <c r="V212" s="926"/>
      <c r="W212" s="608">
        <v>46295</v>
      </c>
      <c r="X212" s="944"/>
      <c r="Y212" s="507"/>
      <c r="Z212" s="914"/>
    </row>
    <row r="213" spans="1:26" ht="15" customHeight="1">
      <c r="B213" s="375">
        <v>9</v>
      </c>
      <c r="C213" s="529"/>
      <c r="D213" s="377"/>
      <c r="E213" s="399"/>
      <c r="F213" s="437"/>
      <c r="G213" s="378"/>
      <c r="H213" s="694"/>
      <c r="I213" s="941"/>
      <c r="J213" s="914"/>
      <c r="K213" s="278"/>
      <c r="L213" s="375">
        <v>9</v>
      </c>
      <c r="M213" s="530" t="s">
        <v>1100</v>
      </c>
      <c r="N213" s="377" t="s">
        <v>1133</v>
      </c>
      <c r="O213" s="885">
        <v>2.5000000000000001E-2</v>
      </c>
      <c r="P213" s="452"/>
      <c r="Q213" s="378">
        <f>O213*$P$206*250*1000</f>
        <v>17187.5</v>
      </c>
      <c r="R213" s="887"/>
      <c r="S213" s="646"/>
      <c r="T213" s="551">
        <v>46630</v>
      </c>
      <c r="U213" s="535">
        <f t="shared" si="18"/>
        <v>9924.7360516946683</v>
      </c>
      <c r="V213" s="926"/>
      <c r="W213" s="607">
        <f>T213</f>
        <v>46630</v>
      </c>
      <c r="X213" s="944"/>
      <c r="Y213" s="507"/>
      <c r="Z213" s="914"/>
    </row>
    <row r="214" spans="1:26" ht="15" customHeight="1">
      <c r="B214" s="375">
        <v>9</v>
      </c>
      <c r="C214" s="529"/>
      <c r="D214" s="377"/>
      <c r="E214" s="399"/>
      <c r="F214" s="437"/>
      <c r="G214" s="378"/>
      <c r="H214" s="694"/>
      <c r="I214" s="941"/>
      <c r="J214" s="914"/>
      <c r="K214" s="278"/>
      <c r="L214" s="375">
        <v>9</v>
      </c>
      <c r="M214" s="530" t="s">
        <v>1100</v>
      </c>
      <c r="N214" s="318"/>
      <c r="O214" s="883"/>
      <c r="P214" s="437"/>
      <c r="Q214" s="305"/>
      <c r="R214" s="887"/>
      <c r="S214" s="646"/>
      <c r="T214" s="551" t="str">
        <f t="shared" si="12"/>
        <v/>
      </c>
      <c r="U214" s="535">
        <f t="shared" si="18"/>
        <v>0</v>
      </c>
      <c r="V214" s="926"/>
      <c r="W214" s="608"/>
      <c r="X214" s="944"/>
      <c r="Y214" s="507"/>
      <c r="Z214" s="914"/>
    </row>
    <row r="215" spans="1:26" ht="15" customHeight="1" thickBot="1">
      <c r="B215" s="306">
        <v>9</v>
      </c>
      <c r="C215" s="431"/>
      <c r="D215" s="319"/>
      <c r="E215" s="308"/>
      <c r="F215" s="453"/>
      <c r="G215" s="320"/>
      <c r="H215" s="695"/>
      <c r="I215" s="942"/>
      <c r="J215" s="915"/>
      <c r="K215" s="354"/>
      <c r="L215" s="306">
        <v>9</v>
      </c>
      <c r="M215" s="434" t="s">
        <v>1100</v>
      </c>
      <c r="N215" s="319"/>
      <c r="O215" s="884"/>
      <c r="P215" s="453"/>
      <c r="Q215" s="476"/>
      <c r="R215" s="895"/>
      <c r="S215" s="647"/>
      <c r="T215" s="552" t="str">
        <f t="shared" ref="T215:T233" si="32">IF(W215&gt;1,EOMONTH(W215,0),"")</f>
        <v/>
      </c>
      <c r="U215" s="536">
        <f t="shared" ref="U215" si="33">(Q215/$X$179*$J$179)</f>
        <v>0</v>
      </c>
      <c r="V215" s="927"/>
      <c r="W215" s="609"/>
      <c r="X215" s="945"/>
      <c r="Y215" s="470"/>
      <c r="Z215" s="915"/>
    </row>
    <row r="216" spans="1:26" ht="14.5" thickBot="1">
      <c r="A216" s="24"/>
      <c r="B216" s="280"/>
      <c r="C216" s="297"/>
      <c r="D216" s="298"/>
      <c r="E216" s="281"/>
      <c r="F216" s="449"/>
      <c r="G216" s="282"/>
      <c r="H216" s="700"/>
      <c r="I216" s="270"/>
      <c r="J216" s="394"/>
      <c r="K216" s="24"/>
      <c r="L216" s="280"/>
      <c r="M216" s="297"/>
      <c r="N216" s="298"/>
      <c r="O216" s="281"/>
      <c r="P216" s="449"/>
      <c r="Q216" s="479"/>
      <c r="R216" s="894"/>
      <c r="S216" s="652"/>
      <c r="T216" s="553" t="str">
        <f t="shared" si="32"/>
        <v/>
      </c>
      <c r="U216" s="541"/>
      <c r="V216" s="521"/>
      <c r="W216" s="610"/>
      <c r="X216" s="340"/>
      <c r="Y216" s="508"/>
      <c r="Z216" s="270"/>
    </row>
    <row r="217" spans="1:26" ht="14.25" customHeight="1">
      <c r="B217" s="259">
        <v>10</v>
      </c>
      <c r="C217" s="260" t="s">
        <v>1134</v>
      </c>
      <c r="D217" s="260" t="s">
        <v>1135</v>
      </c>
      <c r="E217" s="261"/>
      <c r="F217" s="463"/>
      <c r="G217" s="328">
        <v>8500</v>
      </c>
      <c r="H217" s="709">
        <v>45961</v>
      </c>
      <c r="I217" s="919">
        <f>SUM(G217:G264)</f>
        <v>1661037.4625648628</v>
      </c>
      <c r="J217" s="919">
        <f>9239.13043478261+1356331.52173913+260869.565217391+179035.28539659</f>
        <v>1805475.5027878936</v>
      </c>
      <c r="K217" s="329"/>
      <c r="L217" s="259">
        <v>10</v>
      </c>
      <c r="M217" s="260" t="s">
        <v>1136</v>
      </c>
      <c r="N217" s="260" t="s">
        <v>1137</v>
      </c>
      <c r="O217" s="580"/>
      <c r="P217" s="463"/>
      <c r="Q217" s="328">
        <v>240000</v>
      </c>
      <c r="R217" s="902"/>
      <c r="S217" s="658"/>
      <c r="T217" s="562">
        <f t="shared" si="32"/>
        <v>46112</v>
      </c>
      <c r="U217" s="546">
        <f t="shared" ref="U217:U264" si="34">(Q217/$X$217*$J$217)</f>
        <v>240820.3746788904</v>
      </c>
      <c r="V217" s="928">
        <f>J217-SUM(U217:U264)</f>
        <v>0</v>
      </c>
      <c r="W217" s="618">
        <v>46112</v>
      </c>
      <c r="X217" s="922">
        <f>SUM(Q217:Q264)</f>
        <v>1799325</v>
      </c>
      <c r="Y217" s="513"/>
      <c r="Z217" s="919">
        <f>I217-X217</f>
        <v>-138287.5374351372</v>
      </c>
    </row>
    <row r="218" spans="1:26" ht="14.25" customHeight="1">
      <c r="B218" s="330">
        <v>10</v>
      </c>
      <c r="C218" s="331"/>
      <c r="D218" s="331" t="s">
        <v>1138</v>
      </c>
      <c r="E218" s="332"/>
      <c r="F218" s="464"/>
      <c r="G218" s="333">
        <v>164712.46256486286</v>
      </c>
      <c r="H218" s="710">
        <v>45960</v>
      </c>
      <c r="I218" s="920"/>
      <c r="J218" s="920"/>
      <c r="K218" s="262"/>
      <c r="L218" s="330">
        <v>10</v>
      </c>
      <c r="M218" s="331" t="s">
        <v>1136</v>
      </c>
      <c r="N218" s="331"/>
      <c r="O218" s="581"/>
      <c r="P218" s="464"/>
      <c r="Q218" s="333"/>
      <c r="R218" s="903"/>
      <c r="S218" s="659"/>
      <c r="T218" s="563" t="str">
        <f t="shared" si="32"/>
        <v/>
      </c>
      <c r="U218" s="547">
        <f t="shared" si="34"/>
        <v>0</v>
      </c>
      <c r="V218" s="929"/>
      <c r="W218" s="619"/>
      <c r="X218" s="923"/>
      <c r="Y218" s="514"/>
      <c r="Z218" s="920"/>
    </row>
    <row r="219" spans="1:26" ht="14.25" customHeight="1">
      <c r="B219" s="330">
        <v>10</v>
      </c>
      <c r="C219" s="331"/>
      <c r="D219" s="331" t="s">
        <v>1139</v>
      </c>
      <c r="E219" s="332"/>
      <c r="F219" s="464"/>
      <c r="G219" s="333">
        <v>1247825</v>
      </c>
      <c r="H219" s="710">
        <v>45961</v>
      </c>
      <c r="I219" s="920"/>
      <c r="J219" s="920"/>
      <c r="K219" s="262"/>
      <c r="L219" s="330">
        <v>10</v>
      </c>
      <c r="M219" s="331" t="s">
        <v>1136</v>
      </c>
      <c r="N219" s="331" t="s">
        <v>1139</v>
      </c>
      <c r="O219" s="581"/>
      <c r="P219" s="464"/>
      <c r="Q219" s="333">
        <v>247825</v>
      </c>
      <c r="R219" s="903"/>
      <c r="S219" s="659"/>
      <c r="T219" s="563">
        <f t="shared" si="32"/>
        <v>46112</v>
      </c>
      <c r="U219" s="547">
        <f t="shared" si="34"/>
        <v>248672.12231165008</v>
      </c>
      <c r="V219" s="929"/>
      <c r="W219" s="619">
        <v>46112</v>
      </c>
      <c r="X219" s="923"/>
      <c r="Y219" s="514"/>
      <c r="Z219" s="920"/>
    </row>
    <row r="220" spans="1:26" ht="14.25" customHeight="1">
      <c r="B220" s="330">
        <v>10</v>
      </c>
      <c r="C220" s="331"/>
      <c r="D220" s="331" t="s">
        <v>1137</v>
      </c>
      <c r="E220" s="332"/>
      <c r="F220" s="464"/>
      <c r="G220" s="333">
        <v>240000</v>
      </c>
      <c r="H220" s="710">
        <v>45962</v>
      </c>
      <c r="I220" s="920"/>
      <c r="J220" s="920"/>
      <c r="K220" s="262"/>
      <c r="L220" s="330">
        <v>10</v>
      </c>
      <c r="M220" s="331" t="s">
        <v>1136</v>
      </c>
      <c r="N220" s="331"/>
      <c r="O220" s="581"/>
      <c r="P220" s="464"/>
      <c r="Q220" s="333"/>
      <c r="R220" s="903"/>
      <c r="S220" s="659"/>
      <c r="T220" s="563" t="str">
        <f t="shared" si="32"/>
        <v/>
      </c>
      <c r="U220" s="547">
        <f t="shared" si="34"/>
        <v>0</v>
      </c>
      <c r="V220" s="929"/>
      <c r="W220" s="619"/>
      <c r="X220" s="923"/>
      <c r="Y220" s="514"/>
      <c r="Z220" s="920"/>
    </row>
    <row r="221" spans="1:26" ht="14.25" customHeight="1">
      <c r="B221" s="330">
        <v>10</v>
      </c>
      <c r="C221" s="331"/>
      <c r="D221" s="331"/>
      <c r="E221" s="332"/>
      <c r="F221" s="464"/>
      <c r="G221" s="333"/>
      <c r="H221" s="710"/>
      <c r="I221" s="920"/>
      <c r="J221" s="920"/>
      <c r="K221" s="262"/>
      <c r="L221" s="330">
        <v>10</v>
      </c>
      <c r="M221" s="331" t="s">
        <v>1136</v>
      </c>
      <c r="N221" s="331"/>
      <c r="O221" s="581"/>
      <c r="P221" s="464"/>
      <c r="Q221" s="333"/>
      <c r="R221" s="904"/>
      <c r="S221" s="660"/>
      <c r="T221" s="564" t="str">
        <f t="shared" si="32"/>
        <v/>
      </c>
      <c r="U221" s="548">
        <f t="shared" si="34"/>
        <v>0</v>
      </c>
      <c r="V221" s="929"/>
      <c r="W221" s="620"/>
      <c r="X221" s="923"/>
      <c r="Y221" s="514"/>
      <c r="Z221" s="920"/>
    </row>
    <row r="222" spans="1:26" ht="14.25" customHeight="1">
      <c r="B222" s="330">
        <v>10</v>
      </c>
      <c r="C222" s="331"/>
      <c r="D222" s="331"/>
      <c r="E222" s="332"/>
      <c r="F222" s="464"/>
      <c r="G222" s="333"/>
      <c r="H222" s="710"/>
      <c r="I222" s="920"/>
      <c r="J222" s="920"/>
      <c r="K222" s="262"/>
      <c r="L222" s="330">
        <v>10</v>
      </c>
      <c r="M222" s="331" t="s">
        <v>1136</v>
      </c>
      <c r="N222" s="331" t="s">
        <v>1140</v>
      </c>
      <c r="O222" s="581"/>
      <c r="P222" s="464"/>
      <c r="Q222" s="333">
        <v>8000</v>
      </c>
      <c r="R222" s="904"/>
      <c r="S222" s="660"/>
      <c r="T222" s="564">
        <v>46142</v>
      </c>
      <c r="U222" s="548">
        <f t="shared" si="34"/>
        <v>8027.3458226296798</v>
      </c>
      <c r="V222" s="929"/>
      <c r="W222" s="564">
        <f t="shared" ref="W222:W226" si="35">T222</f>
        <v>46142</v>
      </c>
      <c r="X222" s="923"/>
      <c r="Y222" s="514"/>
      <c r="Z222" s="920"/>
    </row>
    <row r="223" spans="1:26" ht="14.25" customHeight="1">
      <c r="B223" s="330">
        <v>10</v>
      </c>
      <c r="C223" s="331"/>
      <c r="D223" s="331"/>
      <c r="E223" s="332"/>
      <c r="F223" s="464"/>
      <c r="G223" s="333"/>
      <c r="H223" s="710"/>
      <c r="I223" s="920"/>
      <c r="J223" s="920"/>
      <c r="K223" s="262"/>
      <c r="L223" s="330">
        <v>10</v>
      </c>
      <c r="M223" s="331" t="s">
        <v>1136</v>
      </c>
      <c r="N223" s="331" t="s">
        <v>1141</v>
      </c>
      <c r="O223" s="581"/>
      <c r="P223" s="464"/>
      <c r="Q223" s="333">
        <v>8000</v>
      </c>
      <c r="R223" s="904"/>
      <c r="S223" s="660"/>
      <c r="T223" s="564">
        <f>T222+30</f>
        <v>46172</v>
      </c>
      <c r="U223" s="548">
        <f t="shared" si="34"/>
        <v>8027.3458226296798</v>
      </c>
      <c r="V223" s="929"/>
      <c r="W223" s="564">
        <f t="shared" si="35"/>
        <v>46172</v>
      </c>
      <c r="X223" s="923"/>
      <c r="Y223" s="514"/>
      <c r="Z223" s="920"/>
    </row>
    <row r="224" spans="1:26" ht="14.25" customHeight="1">
      <c r="B224" s="330">
        <v>10</v>
      </c>
      <c r="C224" s="331"/>
      <c r="D224" s="331"/>
      <c r="E224" s="332"/>
      <c r="F224" s="464"/>
      <c r="G224" s="333"/>
      <c r="H224" s="710"/>
      <c r="I224" s="920"/>
      <c r="J224" s="920"/>
      <c r="K224" s="262"/>
      <c r="L224" s="330">
        <v>10</v>
      </c>
      <c r="M224" s="331" t="s">
        <v>1136</v>
      </c>
      <c r="N224" s="331" t="s">
        <v>1142</v>
      </c>
      <c r="O224" s="581"/>
      <c r="P224" s="464"/>
      <c r="Q224" s="333">
        <v>8000</v>
      </c>
      <c r="R224" s="904"/>
      <c r="S224" s="660"/>
      <c r="T224" s="564">
        <f>T223+30</f>
        <v>46202</v>
      </c>
      <c r="U224" s="548">
        <f t="shared" si="34"/>
        <v>8027.3458226296798</v>
      </c>
      <c r="V224" s="929"/>
      <c r="W224" s="564">
        <f t="shared" si="35"/>
        <v>46202</v>
      </c>
      <c r="X224" s="923"/>
      <c r="Y224" s="514"/>
      <c r="Z224" s="920"/>
    </row>
    <row r="225" spans="1:76" ht="14.25" customHeight="1">
      <c r="B225" s="330">
        <v>10</v>
      </c>
      <c r="C225" s="331"/>
      <c r="D225" s="331"/>
      <c r="E225" s="332"/>
      <c r="F225" s="464"/>
      <c r="G225" s="333"/>
      <c r="H225" s="710"/>
      <c r="I225" s="920"/>
      <c r="J225" s="920"/>
      <c r="K225" s="262"/>
      <c r="L225" s="330">
        <v>10</v>
      </c>
      <c r="M225" s="331" t="s">
        <v>1136</v>
      </c>
      <c r="N225" s="331" t="s">
        <v>1143</v>
      </c>
      <c r="O225" s="581"/>
      <c r="P225" s="464"/>
      <c r="Q225" s="333">
        <v>8000</v>
      </c>
      <c r="R225" s="904"/>
      <c r="S225" s="660"/>
      <c r="T225" s="564">
        <f>T224+30</f>
        <v>46232</v>
      </c>
      <c r="U225" s="548">
        <f t="shared" si="34"/>
        <v>8027.3458226296798</v>
      </c>
      <c r="V225" s="929"/>
      <c r="W225" s="564">
        <f t="shared" si="35"/>
        <v>46232</v>
      </c>
      <c r="X225" s="923"/>
      <c r="Y225" s="514"/>
      <c r="Z225" s="920"/>
    </row>
    <row r="226" spans="1:76" ht="14.25" customHeight="1">
      <c r="B226" s="330">
        <v>10</v>
      </c>
      <c r="C226" s="331"/>
      <c r="D226" s="331"/>
      <c r="E226" s="332"/>
      <c r="F226" s="464"/>
      <c r="G226" s="333"/>
      <c r="H226" s="710"/>
      <c r="I226" s="920"/>
      <c r="J226" s="920"/>
      <c r="K226" s="262"/>
      <c r="L226" s="330">
        <v>10</v>
      </c>
      <c r="M226" s="331" t="s">
        <v>1136</v>
      </c>
      <c r="N226" s="331" t="s">
        <v>1144</v>
      </c>
      <c r="O226" s="581"/>
      <c r="P226" s="464"/>
      <c r="Q226" s="333">
        <v>8000</v>
      </c>
      <c r="R226" s="904"/>
      <c r="S226" s="660"/>
      <c r="T226" s="564">
        <f>T225+30</f>
        <v>46262</v>
      </c>
      <c r="U226" s="548">
        <f t="shared" si="34"/>
        <v>8027.3458226296798</v>
      </c>
      <c r="V226" s="929"/>
      <c r="W226" s="564">
        <f t="shared" si="35"/>
        <v>46262</v>
      </c>
      <c r="X226" s="923"/>
      <c r="Y226" s="514"/>
      <c r="Z226" s="920"/>
    </row>
    <row r="227" spans="1:76" ht="14.25" customHeight="1">
      <c r="B227" s="330">
        <v>10</v>
      </c>
      <c r="C227" s="331"/>
      <c r="D227" s="331"/>
      <c r="E227" s="332"/>
      <c r="F227" s="464"/>
      <c r="G227" s="333"/>
      <c r="H227" s="710"/>
      <c r="I227" s="920"/>
      <c r="J227" s="920"/>
      <c r="K227" s="262"/>
      <c r="L227" s="330">
        <v>10</v>
      </c>
      <c r="M227" s="331" t="s">
        <v>1136</v>
      </c>
      <c r="N227" s="331"/>
      <c r="O227" s="581"/>
      <c r="P227" s="464"/>
      <c r="Q227" s="333"/>
      <c r="R227" s="904"/>
      <c r="S227" s="660"/>
      <c r="T227" s="564"/>
      <c r="U227" s="548">
        <f t="shared" si="34"/>
        <v>0</v>
      </c>
      <c r="V227" s="929"/>
      <c r="W227" s="564"/>
      <c r="X227" s="923"/>
      <c r="Y227" s="514"/>
      <c r="Z227" s="920"/>
    </row>
    <row r="228" spans="1:76" ht="14.25" customHeight="1">
      <c r="B228" s="330">
        <v>10</v>
      </c>
      <c r="C228" s="331"/>
      <c r="D228" s="331"/>
      <c r="E228" s="332"/>
      <c r="F228" s="464"/>
      <c r="G228" s="333"/>
      <c r="H228" s="710"/>
      <c r="I228" s="920"/>
      <c r="J228" s="920"/>
      <c r="K228" s="262"/>
      <c r="L228" s="330">
        <v>10</v>
      </c>
      <c r="M228" s="331" t="s">
        <v>1136</v>
      </c>
      <c r="N228" s="331"/>
      <c r="O228" s="581"/>
      <c r="P228" s="464"/>
      <c r="Q228" s="333"/>
      <c r="R228" s="904"/>
      <c r="S228" s="660"/>
      <c r="T228" s="564"/>
      <c r="U228" s="548">
        <f t="shared" si="34"/>
        <v>0</v>
      </c>
      <c r="V228" s="929"/>
      <c r="W228" s="564"/>
      <c r="X228" s="923"/>
      <c r="Y228" s="514"/>
      <c r="Z228" s="920"/>
    </row>
    <row r="229" spans="1:76" ht="14.25" customHeight="1">
      <c r="B229" s="330">
        <v>10</v>
      </c>
      <c r="C229" s="331"/>
      <c r="D229" s="331"/>
      <c r="E229" s="332"/>
      <c r="F229" s="464"/>
      <c r="G229" s="333"/>
      <c r="H229" s="710"/>
      <c r="I229" s="920"/>
      <c r="J229" s="920"/>
      <c r="K229" s="262"/>
      <c r="L229" s="330">
        <v>10</v>
      </c>
      <c r="M229" s="331" t="s">
        <v>1136</v>
      </c>
      <c r="N229" s="331"/>
      <c r="O229" s="581"/>
      <c r="P229" s="464"/>
      <c r="Q229" s="333"/>
      <c r="R229" s="904"/>
      <c r="S229" s="660"/>
      <c r="T229" s="564"/>
      <c r="U229" s="548">
        <f t="shared" si="34"/>
        <v>0</v>
      </c>
      <c r="V229" s="929"/>
      <c r="W229" s="620"/>
      <c r="X229" s="923"/>
      <c r="Y229" s="514"/>
      <c r="Z229" s="920"/>
    </row>
    <row r="230" spans="1:76" ht="14.25" customHeight="1">
      <c r="B230" s="330">
        <v>10</v>
      </c>
      <c r="C230" s="331"/>
      <c r="D230" s="331"/>
      <c r="E230" s="332"/>
      <c r="F230" s="464"/>
      <c r="G230" s="333"/>
      <c r="H230" s="710"/>
      <c r="I230" s="920"/>
      <c r="J230" s="920"/>
      <c r="K230" s="262"/>
      <c r="L230" s="330">
        <v>10</v>
      </c>
      <c r="M230" s="331" t="s">
        <v>1136</v>
      </c>
      <c r="N230" s="331" t="s">
        <v>1145</v>
      </c>
      <c r="O230" s="581"/>
      <c r="P230" s="464"/>
      <c r="Q230" s="333">
        <v>45000</v>
      </c>
      <c r="R230" s="904" t="s">
        <v>1146</v>
      </c>
      <c r="S230" s="660"/>
      <c r="T230" s="564">
        <v>46142</v>
      </c>
      <c r="U230" s="548">
        <f t="shared" si="34"/>
        <v>45153.820252291953</v>
      </c>
      <c r="V230" s="929"/>
      <c r="W230" s="620">
        <f>T230</f>
        <v>46142</v>
      </c>
      <c r="X230" s="923"/>
      <c r="Y230" s="514"/>
      <c r="Z230" s="920"/>
    </row>
    <row r="231" spans="1:76" ht="14.25" customHeight="1">
      <c r="B231" s="330">
        <v>10</v>
      </c>
      <c r="C231" s="331"/>
      <c r="D231" s="331"/>
      <c r="E231" s="332"/>
      <c r="F231" s="464"/>
      <c r="G231" s="333"/>
      <c r="H231" s="710"/>
      <c r="I231" s="920"/>
      <c r="J231" s="920"/>
      <c r="K231" s="262"/>
      <c r="L231" s="330">
        <v>10</v>
      </c>
      <c r="M231" s="331" t="s">
        <v>1136</v>
      </c>
      <c r="N231" s="331" t="s">
        <v>1147</v>
      </c>
      <c r="O231" s="581"/>
      <c r="P231" s="464"/>
      <c r="Q231" s="333"/>
      <c r="R231" s="904"/>
      <c r="S231" s="660"/>
      <c r="T231" s="564" t="str">
        <f t="shared" si="32"/>
        <v/>
      </c>
      <c r="U231" s="548">
        <f t="shared" si="34"/>
        <v>0</v>
      </c>
      <c r="V231" s="929"/>
      <c r="W231" s="620"/>
      <c r="X231" s="923"/>
      <c r="Y231" s="514"/>
      <c r="Z231" s="920"/>
    </row>
    <row r="232" spans="1:76" ht="14.25" customHeight="1">
      <c r="A232" s="24"/>
      <c r="B232" s="330">
        <v>10</v>
      </c>
      <c r="C232" s="331"/>
      <c r="D232" s="331"/>
      <c r="E232" s="332"/>
      <c r="F232" s="464"/>
      <c r="G232" s="333"/>
      <c r="H232" s="710"/>
      <c r="I232" s="920"/>
      <c r="J232" s="920"/>
      <c r="K232" s="262"/>
      <c r="L232" s="330">
        <v>10</v>
      </c>
      <c r="M232" s="331" t="s">
        <v>1136</v>
      </c>
      <c r="N232" s="331" t="s">
        <v>1147</v>
      </c>
      <c r="O232" s="581"/>
      <c r="P232" s="464"/>
      <c r="Q232" s="333"/>
      <c r="R232" s="904"/>
      <c r="S232" s="660"/>
      <c r="T232" s="564" t="str">
        <f t="shared" ref="T232" si="36">IF(W232&gt;1,EOMONTH(W232,0),"")</f>
        <v/>
      </c>
      <c r="U232" s="548">
        <f t="shared" ref="U232" si="37">(Q232/$X$217*$J$217)</f>
        <v>0</v>
      </c>
      <c r="V232" s="929"/>
      <c r="W232" s="620"/>
      <c r="X232" s="923"/>
      <c r="Y232" s="514"/>
      <c r="Z232" s="920"/>
      <c r="AA232" s="24"/>
      <c r="AB232" s="24"/>
      <c r="AC232" s="24"/>
      <c r="AD232" s="24"/>
      <c r="AE232" s="24"/>
      <c r="AF232" s="24"/>
      <c r="AG232" s="24"/>
      <c r="AH232" s="24"/>
      <c r="AI232" s="24"/>
      <c r="AJ232" s="24"/>
      <c r="AK232" s="24"/>
      <c r="AL232" s="24"/>
      <c r="AM232" s="24"/>
      <c r="AN232" s="24"/>
      <c r="AO232" s="24"/>
      <c r="AP232" s="24"/>
      <c r="AQ232" s="24"/>
      <c r="AR232" s="24"/>
      <c r="AS232" s="24"/>
      <c r="AT232" s="24"/>
      <c r="AU232" s="24"/>
      <c r="AV232" s="24"/>
      <c r="AW232" s="24"/>
      <c r="AX232" s="24"/>
      <c r="AY232" s="24"/>
      <c r="AZ232" s="24"/>
      <c r="BA232" s="24"/>
      <c r="BB232" s="24"/>
      <c r="BC232" s="24"/>
      <c r="BD232" s="24"/>
      <c r="BE232" s="24"/>
      <c r="BF232" s="24"/>
      <c r="BG232" s="24"/>
      <c r="BH232" s="24"/>
      <c r="BI232" s="24"/>
      <c r="BJ232" s="24"/>
      <c r="BK232" s="24"/>
      <c r="BL232" s="24"/>
      <c r="BM232" s="24"/>
      <c r="BN232" s="24"/>
      <c r="BO232" s="24"/>
      <c r="BP232" s="24"/>
      <c r="BQ232" s="24"/>
      <c r="BR232" s="24"/>
      <c r="BS232" s="24"/>
      <c r="BT232" s="24"/>
      <c r="BU232" s="24"/>
      <c r="BV232" s="24"/>
      <c r="BW232" s="24"/>
      <c r="BX232" s="24"/>
    </row>
    <row r="233" spans="1:76" ht="14.25" customHeight="1">
      <c r="B233" s="330">
        <v>10</v>
      </c>
      <c r="C233" s="331"/>
      <c r="D233" s="331"/>
      <c r="E233" s="332"/>
      <c r="F233" s="464"/>
      <c r="G233" s="333"/>
      <c r="H233" s="710"/>
      <c r="I233" s="920"/>
      <c r="J233" s="920"/>
      <c r="K233" s="262"/>
      <c r="L233" s="330">
        <v>10</v>
      </c>
      <c r="M233" s="331" t="s">
        <v>1136</v>
      </c>
      <c r="N233" s="331"/>
      <c r="O233" s="581"/>
      <c r="P233" s="464"/>
      <c r="Q233" s="333"/>
      <c r="R233" s="904"/>
      <c r="S233" s="660"/>
      <c r="T233" s="564" t="str">
        <f t="shared" si="32"/>
        <v/>
      </c>
      <c r="U233" s="548">
        <f t="shared" si="34"/>
        <v>0</v>
      </c>
      <c r="V233" s="929"/>
      <c r="W233" s="620"/>
      <c r="X233" s="923"/>
      <c r="Y233" s="514"/>
      <c r="Z233" s="920"/>
    </row>
    <row r="234" spans="1:76" ht="14.25" customHeight="1">
      <c r="B234" s="330">
        <v>10</v>
      </c>
      <c r="C234" s="331"/>
      <c r="D234" s="331"/>
      <c r="E234" s="332"/>
      <c r="F234" s="464"/>
      <c r="G234" s="333"/>
      <c r="H234" s="710"/>
      <c r="I234" s="920"/>
      <c r="J234" s="920"/>
      <c r="K234" s="262"/>
      <c r="L234" s="330">
        <v>10</v>
      </c>
      <c r="M234" s="331" t="s">
        <v>1136</v>
      </c>
      <c r="N234" s="331" t="s">
        <v>1148</v>
      </c>
      <c r="O234" s="581"/>
      <c r="P234" s="464"/>
      <c r="Q234" s="333">
        <v>2000</v>
      </c>
      <c r="R234" s="904"/>
      <c r="S234" s="660"/>
      <c r="T234" s="564">
        <v>46142</v>
      </c>
      <c r="U234" s="548">
        <f t="shared" si="34"/>
        <v>2006.8364556574199</v>
      </c>
      <c r="V234" s="929"/>
      <c r="W234" s="564">
        <v>46053</v>
      </c>
      <c r="X234" s="923"/>
      <c r="Y234" s="514"/>
      <c r="Z234" s="920"/>
    </row>
    <row r="235" spans="1:76" ht="14.25" customHeight="1">
      <c r="B235" s="330">
        <v>10</v>
      </c>
      <c r="C235" s="331"/>
      <c r="D235" s="331"/>
      <c r="E235" s="332"/>
      <c r="F235" s="464"/>
      <c r="G235" s="333"/>
      <c r="H235" s="710"/>
      <c r="I235" s="920"/>
      <c r="J235" s="920"/>
      <c r="K235" s="262"/>
      <c r="L235" s="330">
        <v>10</v>
      </c>
      <c r="M235" s="331" t="s">
        <v>1136</v>
      </c>
      <c r="N235" s="331" t="s">
        <v>1149</v>
      </c>
      <c r="O235" s="581"/>
      <c r="P235" s="464"/>
      <c r="Q235" s="333">
        <v>2000</v>
      </c>
      <c r="R235" s="904"/>
      <c r="S235" s="660"/>
      <c r="T235" s="564">
        <v>46081</v>
      </c>
      <c r="U235" s="548">
        <f t="shared" si="34"/>
        <v>2006.8364556574199</v>
      </c>
      <c r="V235" s="929"/>
      <c r="W235" s="564">
        <v>46081</v>
      </c>
      <c r="X235" s="923"/>
      <c r="Y235" s="514"/>
      <c r="Z235" s="920"/>
    </row>
    <row r="236" spans="1:76" ht="14.25" customHeight="1">
      <c r="B236" s="330">
        <v>10</v>
      </c>
      <c r="C236" s="331"/>
      <c r="D236" s="331"/>
      <c r="E236" s="332"/>
      <c r="F236" s="464"/>
      <c r="G236" s="333"/>
      <c r="H236" s="710"/>
      <c r="I236" s="920"/>
      <c r="J236" s="920"/>
      <c r="K236" s="262"/>
      <c r="L236" s="330">
        <v>10</v>
      </c>
      <c r="M236" s="331" t="s">
        <v>1136</v>
      </c>
      <c r="N236" s="331" t="s">
        <v>1150</v>
      </c>
      <c r="O236" s="581"/>
      <c r="P236" s="464"/>
      <c r="Q236" s="333">
        <v>2000</v>
      </c>
      <c r="R236" s="904"/>
      <c r="S236" s="660"/>
      <c r="T236" s="564">
        <v>46112</v>
      </c>
      <c r="U236" s="548">
        <f t="shared" si="34"/>
        <v>2006.8364556574199</v>
      </c>
      <c r="V236" s="929"/>
      <c r="W236" s="564">
        <v>46112</v>
      </c>
      <c r="X236" s="923"/>
      <c r="Y236" s="514"/>
      <c r="Z236" s="920"/>
    </row>
    <row r="237" spans="1:76" ht="14.25" customHeight="1">
      <c r="B237" s="330">
        <v>10</v>
      </c>
      <c r="C237" s="331"/>
      <c r="D237" s="331"/>
      <c r="E237" s="332"/>
      <c r="F237" s="464"/>
      <c r="G237" s="333"/>
      <c r="H237" s="710"/>
      <c r="I237" s="920"/>
      <c r="J237" s="920"/>
      <c r="K237" s="262"/>
      <c r="L237" s="330">
        <v>10</v>
      </c>
      <c r="M237" s="331" t="s">
        <v>1136</v>
      </c>
      <c r="N237" s="331" t="s">
        <v>1151</v>
      </c>
      <c r="O237" s="581"/>
      <c r="P237" s="464"/>
      <c r="Q237" s="333">
        <v>2000</v>
      </c>
      <c r="R237" s="904"/>
      <c r="S237" s="660"/>
      <c r="T237" s="564">
        <v>46142</v>
      </c>
      <c r="U237" s="548">
        <f t="shared" si="34"/>
        <v>2006.8364556574199</v>
      </c>
      <c r="V237" s="929"/>
      <c r="W237" s="564">
        <v>46142</v>
      </c>
      <c r="X237" s="923"/>
      <c r="Y237" s="514"/>
      <c r="Z237" s="920"/>
    </row>
    <row r="238" spans="1:76" ht="14.25" customHeight="1">
      <c r="B238" s="330">
        <v>10</v>
      </c>
      <c r="C238" s="331"/>
      <c r="D238" s="331"/>
      <c r="E238" s="332"/>
      <c r="F238" s="464"/>
      <c r="G238" s="333"/>
      <c r="H238" s="710"/>
      <c r="I238" s="920"/>
      <c r="J238" s="920"/>
      <c r="K238" s="262"/>
      <c r="L238" s="330">
        <v>10</v>
      </c>
      <c r="M238" s="331" t="s">
        <v>1136</v>
      </c>
      <c r="N238" s="331" t="s">
        <v>1152</v>
      </c>
      <c r="O238" s="581"/>
      <c r="P238" s="464"/>
      <c r="Q238" s="333">
        <v>2000</v>
      </c>
      <c r="R238" s="904"/>
      <c r="S238" s="660"/>
      <c r="T238" s="564">
        <v>46173</v>
      </c>
      <c r="U238" s="548">
        <f t="shared" si="34"/>
        <v>2006.8364556574199</v>
      </c>
      <c r="V238" s="929"/>
      <c r="W238" s="564">
        <v>46173</v>
      </c>
      <c r="X238" s="923"/>
      <c r="Y238" s="514"/>
      <c r="Z238" s="920"/>
    </row>
    <row r="239" spans="1:76" ht="14.25" customHeight="1">
      <c r="B239" s="330">
        <v>10</v>
      </c>
      <c r="C239" s="331"/>
      <c r="D239" s="331"/>
      <c r="E239" s="332"/>
      <c r="F239" s="464"/>
      <c r="G239" s="333"/>
      <c r="H239" s="710"/>
      <c r="I239" s="920"/>
      <c r="J239" s="920"/>
      <c r="K239" s="262"/>
      <c r="L239" s="330">
        <v>10</v>
      </c>
      <c r="M239" s="331" t="s">
        <v>1136</v>
      </c>
      <c r="N239" s="331"/>
      <c r="O239" s="581"/>
      <c r="P239" s="464"/>
      <c r="Q239" s="333"/>
      <c r="R239" s="904"/>
      <c r="S239" s="660"/>
      <c r="T239" s="564" t="str">
        <f t="shared" ref="T239:T334" si="38">IF(W239&gt;1,EOMONTH(W239,0),"")</f>
        <v/>
      </c>
      <c r="U239" s="548">
        <f t="shared" si="34"/>
        <v>0</v>
      </c>
      <c r="V239" s="929"/>
      <c r="W239" s="620"/>
      <c r="X239" s="923"/>
      <c r="Y239" s="514"/>
      <c r="Z239" s="920"/>
    </row>
    <row r="240" spans="1:76" ht="14.25" customHeight="1">
      <c r="B240" s="330">
        <v>10</v>
      </c>
      <c r="C240" s="331"/>
      <c r="D240" s="331"/>
      <c r="E240" s="332"/>
      <c r="F240" s="464"/>
      <c r="G240" s="333"/>
      <c r="H240" s="710"/>
      <c r="I240" s="920"/>
      <c r="J240" s="920"/>
      <c r="K240" s="262"/>
      <c r="L240" s="330">
        <v>10</v>
      </c>
      <c r="M240" s="331" t="s">
        <v>1136</v>
      </c>
      <c r="N240" s="331" t="s">
        <v>1153</v>
      </c>
      <c r="O240" s="581">
        <v>3</v>
      </c>
      <c r="P240" s="464">
        <v>1100</v>
      </c>
      <c r="Q240" s="333">
        <f>O240*P240</f>
        <v>3300</v>
      </c>
      <c r="R240" s="904"/>
      <c r="S240" s="660"/>
      <c r="T240" s="564">
        <v>46142</v>
      </c>
      <c r="U240" s="548">
        <f t="shared" si="34"/>
        <v>3311.2801518347428</v>
      </c>
      <c r="V240" s="929"/>
      <c r="W240" s="564">
        <f>T240</f>
        <v>46142</v>
      </c>
      <c r="X240" s="923"/>
      <c r="Y240" s="514"/>
      <c r="Z240" s="920"/>
    </row>
    <row r="241" spans="2:26" ht="14.25" customHeight="1">
      <c r="B241" s="330">
        <v>10</v>
      </c>
      <c r="C241" s="331"/>
      <c r="D241" s="331"/>
      <c r="E241" s="332"/>
      <c r="F241" s="464"/>
      <c r="G241" s="333"/>
      <c r="H241" s="710"/>
      <c r="I241" s="920"/>
      <c r="J241" s="920"/>
      <c r="K241" s="262"/>
      <c r="L241" s="330">
        <v>10</v>
      </c>
      <c r="M241" s="331" t="s">
        <v>1136</v>
      </c>
      <c r="N241" s="331" t="s">
        <v>1154</v>
      </c>
      <c r="O241" s="581">
        <v>3</v>
      </c>
      <c r="P241" s="464">
        <v>1100</v>
      </c>
      <c r="Q241" s="333">
        <f t="shared" ref="Q241:Q244" si="39">O241*P241</f>
        <v>3300</v>
      </c>
      <c r="R241" s="904"/>
      <c r="S241" s="660"/>
      <c r="T241" s="564">
        <v>46173</v>
      </c>
      <c r="U241" s="548">
        <f t="shared" si="34"/>
        <v>3311.2801518347428</v>
      </c>
      <c r="V241" s="929"/>
      <c r="W241" s="564">
        <f>T241</f>
        <v>46173</v>
      </c>
      <c r="X241" s="923"/>
      <c r="Y241" s="514"/>
      <c r="Z241" s="920"/>
    </row>
    <row r="242" spans="2:26" ht="14.25" customHeight="1">
      <c r="B242" s="330">
        <v>10</v>
      </c>
      <c r="C242" s="331"/>
      <c r="D242" s="331"/>
      <c r="E242" s="332"/>
      <c r="F242" s="464"/>
      <c r="G242" s="333"/>
      <c r="H242" s="710"/>
      <c r="I242" s="920"/>
      <c r="J242" s="920"/>
      <c r="K242" s="262"/>
      <c r="L242" s="330">
        <v>10</v>
      </c>
      <c r="M242" s="331" t="s">
        <v>1136</v>
      </c>
      <c r="N242" s="331" t="s">
        <v>1155</v>
      </c>
      <c r="O242" s="581">
        <v>3</v>
      </c>
      <c r="P242" s="464">
        <v>1100</v>
      </c>
      <c r="Q242" s="333">
        <f t="shared" si="39"/>
        <v>3300</v>
      </c>
      <c r="R242" s="904"/>
      <c r="S242" s="660"/>
      <c r="T242" s="564">
        <v>46203</v>
      </c>
      <c r="U242" s="548">
        <f t="shared" si="34"/>
        <v>3311.2801518347428</v>
      </c>
      <c r="V242" s="929"/>
      <c r="W242" s="564">
        <f>T242</f>
        <v>46203</v>
      </c>
      <c r="X242" s="923"/>
      <c r="Y242" s="514"/>
      <c r="Z242" s="920"/>
    </row>
    <row r="243" spans="2:26" ht="14.25" customHeight="1">
      <c r="B243" s="330">
        <v>10</v>
      </c>
      <c r="C243" s="331"/>
      <c r="D243" s="331"/>
      <c r="E243" s="332"/>
      <c r="F243" s="464"/>
      <c r="G243" s="333"/>
      <c r="H243" s="710"/>
      <c r="I243" s="920"/>
      <c r="J243" s="920"/>
      <c r="K243" s="262"/>
      <c r="L243" s="330">
        <v>10</v>
      </c>
      <c r="M243" s="331" t="s">
        <v>1136</v>
      </c>
      <c r="N243" s="331" t="s">
        <v>1156</v>
      </c>
      <c r="O243" s="581">
        <v>3</v>
      </c>
      <c r="P243" s="464">
        <v>1100</v>
      </c>
      <c r="Q243" s="333">
        <f t="shared" si="39"/>
        <v>3300</v>
      </c>
      <c r="R243" s="904"/>
      <c r="S243" s="660"/>
      <c r="T243" s="564">
        <v>46234</v>
      </c>
      <c r="U243" s="548">
        <f t="shared" si="34"/>
        <v>3311.2801518347428</v>
      </c>
      <c r="V243" s="929"/>
      <c r="W243" s="564">
        <f>T243</f>
        <v>46234</v>
      </c>
      <c r="X243" s="923"/>
      <c r="Y243" s="514"/>
      <c r="Z243" s="920"/>
    </row>
    <row r="244" spans="2:26" ht="14.25" customHeight="1">
      <c r="B244" s="330">
        <v>10</v>
      </c>
      <c r="C244" s="331"/>
      <c r="D244" s="331"/>
      <c r="E244" s="332"/>
      <c r="F244" s="464"/>
      <c r="G244" s="333"/>
      <c r="H244" s="710"/>
      <c r="I244" s="920"/>
      <c r="J244" s="920"/>
      <c r="K244" s="262"/>
      <c r="L244" s="330">
        <v>10</v>
      </c>
      <c r="M244" s="331" t="s">
        <v>1136</v>
      </c>
      <c r="N244" s="331" t="s">
        <v>1157</v>
      </c>
      <c r="O244" s="581">
        <v>3</v>
      </c>
      <c r="P244" s="464">
        <v>1100</v>
      </c>
      <c r="Q244" s="333">
        <f t="shared" si="39"/>
        <v>3300</v>
      </c>
      <c r="R244" s="904"/>
      <c r="S244" s="660"/>
      <c r="T244" s="564">
        <v>46265</v>
      </c>
      <c r="U244" s="548">
        <f t="shared" si="34"/>
        <v>3311.2801518347428</v>
      </c>
      <c r="V244" s="929"/>
      <c r="W244" s="564">
        <f>T244</f>
        <v>46265</v>
      </c>
      <c r="X244" s="923"/>
      <c r="Y244" s="514"/>
      <c r="Z244" s="920"/>
    </row>
    <row r="245" spans="2:26" ht="14.25" customHeight="1">
      <c r="B245" s="330">
        <v>10</v>
      </c>
      <c r="C245" s="331"/>
      <c r="D245" s="331"/>
      <c r="E245" s="332"/>
      <c r="F245" s="464"/>
      <c r="G245" s="333"/>
      <c r="H245" s="710"/>
      <c r="I245" s="920"/>
      <c r="J245" s="920"/>
      <c r="K245" s="262"/>
      <c r="L245" s="330">
        <v>10</v>
      </c>
      <c r="M245" s="331" t="s">
        <v>1136</v>
      </c>
      <c r="N245" s="331"/>
      <c r="O245" s="581"/>
      <c r="P245" s="464"/>
      <c r="Q245" s="333"/>
      <c r="R245" s="904"/>
      <c r="S245" s="660"/>
      <c r="T245" s="564" t="str">
        <f t="shared" si="38"/>
        <v/>
      </c>
      <c r="U245" s="548">
        <f t="shared" si="34"/>
        <v>0</v>
      </c>
      <c r="V245" s="929"/>
      <c r="W245" s="620"/>
      <c r="X245" s="923"/>
      <c r="Y245" s="514"/>
      <c r="Z245" s="920"/>
    </row>
    <row r="246" spans="2:26" ht="14.25" customHeight="1">
      <c r="B246" s="330">
        <v>10</v>
      </c>
      <c r="C246" s="331"/>
      <c r="D246" s="331"/>
      <c r="E246" s="332"/>
      <c r="F246" s="464"/>
      <c r="G246" s="333"/>
      <c r="H246" s="710"/>
      <c r="I246" s="920"/>
      <c r="J246" s="920"/>
      <c r="K246" s="262"/>
      <c r="L246" s="330">
        <v>10</v>
      </c>
      <c r="M246" s="331" t="s">
        <v>1136</v>
      </c>
      <c r="N246" s="331"/>
      <c r="O246" s="581"/>
      <c r="P246" s="464"/>
      <c r="Q246" s="333"/>
      <c r="R246" s="904"/>
      <c r="S246" s="660"/>
      <c r="T246" s="564" t="str">
        <f t="shared" si="38"/>
        <v/>
      </c>
      <c r="U246" s="548">
        <f t="shared" si="34"/>
        <v>0</v>
      </c>
      <c r="V246" s="929"/>
      <c r="W246" s="620"/>
      <c r="X246" s="923"/>
      <c r="Y246" s="514"/>
      <c r="Z246" s="920"/>
    </row>
    <row r="247" spans="2:26" ht="14.25" customHeight="1">
      <c r="B247" s="622"/>
      <c r="C247" s="623"/>
      <c r="D247" s="623"/>
      <c r="E247" s="624"/>
      <c r="F247" s="625"/>
      <c r="G247" s="626"/>
      <c r="H247" s="711"/>
      <c r="I247" s="920"/>
      <c r="J247" s="920"/>
      <c r="K247" s="262"/>
      <c r="L247" s="330">
        <v>10</v>
      </c>
      <c r="M247" s="331" t="s">
        <v>1136</v>
      </c>
      <c r="N247" s="331"/>
      <c r="O247" s="581"/>
      <c r="P247" s="464"/>
      <c r="Q247" s="333"/>
      <c r="R247" s="904"/>
      <c r="S247" s="660"/>
      <c r="T247" s="564" t="str">
        <f t="shared" si="38"/>
        <v/>
      </c>
      <c r="U247" s="548">
        <f t="shared" si="34"/>
        <v>0</v>
      </c>
      <c r="V247" s="929"/>
      <c r="W247" s="620"/>
      <c r="X247" s="923"/>
      <c r="Y247" s="514"/>
      <c r="Z247" s="920"/>
    </row>
    <row r="248" spans="2:26" ht="14.25" customHeight="1">
      <c r="B248" s="622"/>
      <c r="C248" s="623"/>
      <c r="D248" s="623"/>
      <c r="E248" s="624"/>
      <c r="F248" s="625"/>
      <c r="G248" s="626"/>
      <c r="H248" s="711"/>
      <c r="I248" s="920"/>
      <c r="J248" s="920"/>
      <c r="K248" s="262"/>
      <c r="L248" s="330">
        <v>10</v>
      </c>
      <c r="M248" s="331" t="s">
        <v>1136</v>
      </c>
      <c r="N248" s="331"/>
      <c r="O248" s="581"/>
      <c r="P248" s="464"/>
      <c r="Q248" s="333"/>
      <c r="R248" s="904"/>
      <c r="S248" s="660"/>
      <c r="T248" s="564" t="str">
        <f t="shared" si="38"/>
        <v/>
      </c>
      <c r="U248" s="548">
        <f t="shared" si="34"/>
        <v>0</v>
      </c>
      <c r="V248" s="929"/>
      <c r="W248" s="620"/>
      <c r="X248" s="923"/>
      <c r="Y248" s="514"/>
      <c r="Z248" s="920"/>
    </row>
    <row r="249" spans="2:26" ht="14.25" customHeight="1">
      <c r="B249" s="622"/>
      <c r="C249" s="623"/>
      <c r="D249" s="623"/>
      <c r="E249" s="624"/>
      <c r="F249" s="625"/>
      <c r="G249" s="626"/>
      <c r="H249" s="711"/>
      <c r="I249" s="920"/>
      <c r="J249" s="920"/>
      <c r="K249" s="262"/>
      <c r="L249" s="330">
        <v>10</v>
      </c>
      <c r="M249" s="331" t="s">
        <v>1136</v>
      </c>
      <c r="N249" s="331" t="s">
        <v>1158</v>
      </c>
      <c r="O249" s="639">
        <v>0.5</v>
      </c>
      <c r="P249" s="464">
        <v>700000</v>
      </c>
      <c r="Q249" s="333">
        <f>O249*P249</f>
        <v>350000</v>
      </c>
      <c r="R249" s="904"/>
      <c r="S249" s="660"/>
      <c r="T249" s="564">
        <f t="shared" si="38"/>
        <v>46630</v>
      </c>
      <c r="U249" s="548">
        <f t="shared" si="34"/>
        <v>351196.37974004855</v>
      </c>
      <c r="V249" s="929"/>
      <c r="W249" s="620">
        <f>W213</f>
        <v>46630</v>
      </c>
      <c r="X249" s="923"/>
      <c r="Y249" s="514"/>
      <c r="Z249" s="920"/>
    </row>
    <row r="250" spans="2:26" ht="14.25" customHeight="1">
      <c r="B250" s="622"/>
      <c r="C250" s="623"/>
      <c r="D250" s="623"/>
      <c r="E250" s="624"/>
      <c r="F250" s="625"/>
      <c r="G250" s="626"/>
      <c r="H250" s="711"/>
      <c r="I250" s="920"/>
      <c r="J250" s="920"/>
      <c r="K250" s="262"/>
      <c r="L250" s="330">
        <v>10</v>
      </c>
      <c r="M250" s="331" t="s">
        <v>1136</v>
      </c>
      <c r="N250" s="331" t="s">
        <v>1159</v>
      </c>
      <c r="O250" s="639">
        <v>0.5</v>
      </c>
      <c r="P250" s="464"/>
      <c r="Q250" s="333">
        <f>O250*P249</f>
        <v>350000</v>
      </c>
      <c r="R250" s="904"/>
      <c r="S250" s="660"/>
      <c r="T250" s="564">
        <f t="shared" si="38"/>
        <v>46173</v>
      </c>
      <c r="U250" s="548">
        <f t="shared" si="34"/>
        <v>351196.37974004855</v>
      </c>
      <c r="V250" s="929"/>
      <c r="W250" s="620">
        <f>'Project Plan'!K140+14</f>
        <v>46164</v>
      </c>
      <c r="X250" s="923"/>
      <c r="Y250" s="514"/>
      <c r="Z250" s="920"/>
    </row>
    <row r="251" spans="2:26" ht="14.25" customHeight="1">
      <c r="B251" s="622"/>
      <c r="C251" s="623"/>
      <c r="D251" s="623"/>
      <c r="E251" s="624"/>
      <c r="F251" s="625"/>
      <c r="G251" s="626"/>
      <c r="H251" s="711"/>
      <c r="I251" s="920"/>
      <c r="J251" s="920"/>
      <c r="K251" s="262"/>
      <c r="L251" s="330">
        <v>10</v>
      </c>
      <c r="M251" s="331" t="s">
        <v>1136</v>
      </c>
      <c r="N251" s="331"/>
      <c r="O251" s="581"/>
      <c r="P251" s="464"/>
      <c r="Q251" s="333"/>
      <c r="R251" s="904"/>
      <c r="S251" s="660"/>
      <c r="T251" s="564" t="str">
        <f t="shared" si="38"/>
        <v/>
      </c>
      <c r="U251" s="548">
        <f t="shared" si="34"/>
        <v>0</v>
      </c>
      <c r="V251" s="929"/>
      <c r="W251" s="620"/>
      <c r="X251" s="923"/>
      <c r="Y251" s="514"/>
      <c r="Z251" s="920"/>
    </row>
    <row r="252" spans="2:26" ht="14.25" customHeight="1">
      <c r="B252" s="622"/>
      <c r="C252" s="623"/>
      <c r="D252" s="623"/>
      <c r="E252" s="624"/>
      <c r="F252" s="625"/>
      <c r="G252" s="626"/>
      <c r="H252" s="711"/>
      <c r="I252" s="920"/>
      <c r="J252" s="920"/>
      <c r="K252" s="262"/>
      <c r="L252" s="330">
        <v>10</v>
      </c>
      <c r="M252" s="331" t="s">
        <v>1136</v>
      </c>
      <c r="N252" s="331" t="s">
        <v>1160</v>
      </c>
      <c r="O252" s="639">
        <v>0.5</v>
      </c>
      <c r="P252" s="464">
        <v>125000</v>
      </c>
      <c r="Q252" s="333">
        <f>O252*P252</f>
        <v>62500</v>
      </c>
      <c r="R252" s="904"/>
      <c r="S252" s="660"/>
      <c r="T252" s="564" t="e">
        <f t="shared" si="38"/>
        <v>#REF!</v>
      </c>
      <c r="U252" s="548">
        <f t="shared" si="34"/>
        <v>62713.639239294374</v>
      </c>
      <c r="V252" s="929"/>
      <c r="W252" s="620" t="e">
        <f>#REF!</f>
        <v>#REF!</v>
      </c>
      <c r="X252" s="923"/>
      <c r="Y252" s="514"/>
      <c r="Z252" s="920"/>
    </row>
    <row r="253" spans="2:26" ht="14.25" customHeight="1">
      <c r="B253" s="622"/>
      <c r="C253" s="623"/>
      <c r="D253" s="623"/>
      <c r="E253" s="624"/>
      <c r="F253" s="625"/>
      <c r="G253" s="626"/>
      <c r="H253" s="711"/>
      <c r="I253" s="920"/>
      <c r="J253" s="920"/>
      <c r="K253" s="262"/>
      <c r="L253" s="330">
        <v>10</v>
      </c>
      <c r="M253" s="331" t="s">
        <v>1136</v>
      </c>
      <c r="N253" s="331" t="s">
        <v>1161</v>
      </c>
      <c r="O253" s="639">
        <v>0.5</v>
      </c>
      <c r="P253" s="464"/>
      <c r="Q253" s="333">
        <f>P252*O253</f>
        <v>62500</v>
      </c>
      <c r="R253" s="904"/>
      <c r="S253" s="660"/>
      <c r="T253" s="564">
        <f t="shared" si="38"/>
        <v>46203</v>
      </c>
      <c r="U253" s="548">
        <f t="shared" si="34"/>
        <v>62713.639239294374</v>
      </c>
      <c r="V253" s="929"/>
      <c r="W253" s="620">
        <f>'Project Plan'!K179</f>
        <v>46191</v>
      </c>
      <c r="X253" s="923"/>
      <c r="Y253" s="514"/>
      <c r="Z253" s="920"/>
    </row>
    <row r="254" spans="2:26" ht="14.25" customHeight="1">
      <c r="B254" s="622"/>
      <c r="C254" s="623"/>
      <c r="D254" s="623"/>
      <c r="E254" s="624"/>
      <c r="F254" s="625"/>
      <c r="G254" s="626"/>
      <c r="H254" s="711"/>
      <c r="I254" s="920"/>
      <c r="J254" s="920"/>
      <c r="K254" s="262"/>
      <c r="L254" s="330">
        <v>10</v>
      </c>
      <c r="M254" s="331" t="s">
        <v>1136</v>
      </c>
      <c r="N254" s="331"/>
      <c r="O254" s="581"/>
      <c r="P254" s="464"/>
      <c r="Q254" s="333"/>
      <c r="R254" s="904"/>
      <c r="S254" s="660"/>
      <c r="T254" s="564" t="str">
        <f t="shared" si="38"/>
        <v/>
      </c>
      <c r="U254" s="548">
        <f t="shared" si="34"/>
        <v>0</v>
      </c>
      <c r="V254" s="929"/>
      <c r="W254" s="620"/>
      <c r="X254" s="923"/>
      <c r="Y254" s="514"/>
      <c r="Z254" s="920"/>
    </row>
    <row r="255" spans="2:26" ht="14.25" customHeight="1">
      <c r="B255" s="622"/>
      <c r="C255" s="623"/>
      <c r="D255" s="623"/>
      <c r="E255" s="624"/>
      <c r="F255" s="625"/>
      <c r="G255" s="626"/>
      <c r="H255" s="711"/>
      <c r="I255" s="920"/>
      <c r="J255" s="920"/>
      <c r="K255" s="262"/>
      <c r="L255" s="330">
        <v>10</v>
      </c>
      <c r="M255" s="331" t="s">
        <v>1136</v>
      </c>
      <c r="N255" s="331" t="s">
        <v>1162</v>
      </c>
      <c r="O255" s="639">
        <v>0.5</v>
      </c>
      <c r="P255" s="464">
        <v>375000</v>
      </c>
      <c r="Q255" s="333">
        <f>O255*P255</f>
        <v>187500</v>
      </c>
      <c r="R255" s="904"/>
      <c r="S255" s="660"/>
      <c r="T255" s="564" t="e">
        <f t="shared" si="38"/>
        <v>#REF!</v>
      </c>
      <c r="U255" s="548">
        <f t="shared" si="34"/>
        <v>188140.91771788313</v>
      </c>
      <c r="V255" s="929"/>
      <c r="W255" s="620" t="e">
        <f>#REF!</f>
        <v>#REF!</v>
      </c>
      <c r="X255" s="923"/>
      <c r="Y255" s="514"/>
      <c r="Z255" s="920"/>
    </row>
    <row r="256" spans="2:26" ht="14.25" customHeight="1">
      <c r="B256" s="622"/>
      <c r="C256" s="623"/>
      <c r="D256" s="623"/>
      <c r="E256" s="624"/>
      <c r="F256" s="625"/>
      <c r="G256" s="626"/>
      <c r="H256" s="711"/>
      <c r="I256" s="920"/>
      <c r="J256" s="920"/>
      <c r="K256" s="262"/>
      <c r="L256" s="330">
        <v>10</v>
      </c>
      <c r="M256" s="331" t="s">
        <v>1136</v>
      </c>
      <c r="N256" s="331" t="s">
        <v>1163</v>
      </c>
      <c r="O256" s="639">
        <v>0.5</v>
      </c>
      <c r="P256" s="464"/>
      <c r="Q256" s="333">
        <f>O256*P255</f>
        <v>187500</v>
      </c>
      <c r="R256" s="904"/>
      <c r="S256" s="660"/>
      <c r="T256" s="564">
        <f t="shared" si="38"/>
        <v>46173</v>
      </c>
      <c r="U256" s="548">
        <f t="shared" si="34"/>
        <v>188140.91771788313</v>
      </c>
      <c r="V256" s="929"/>
      <c r="W256" s="620">
        <f>'Project Plan'!K210+14</f>
        <v>46167</v>
      </c>
      <c r="X256" s="923"/>
      <c r="Y256" s="514"/>
      <c r="Z256" s="920"/>
    </row>
    <row r="257" spans="1:26" ht="14.25" customHeight="1">
      <c r="B257" s="622"/>
      <c r="C257" s="623"/>
      <c r="D257" s="623"/>
      <c r="E257" s="624"/>
      <c r="F257" s="625"/>
      <c r="G257" s="626"/>
      <c r="H257" s="711"/>
      <c r="I257" s="920"/>
      <c r="J257" s="920"/>
      <c r="K257" s="262"/>
      <c r="L257" s="330">
        <v>10</v>
      </c>
      <c r="M257" s="331" t="s">
        <v>1136</v>
      </c>
      <c r="N257" s="331"/>
      <c r="O257" s="581"/>
      <c r="P257" s="464"/>
      <c r="Q257" s="333"/>
      <c r="R257" s="904"/>
      <c r="S257" s="660"/>
      <c r="T257" s="564" t="str">
        <f t="shared" si="38"/>
        <v/>
      </c>
      <c r="U257" s="548">
        <f t="shared" si="34"/>
        <v>0</v>
      </c>
      <c r="V257" s="929"/>
      <c r="W257" s="620"/>
      <c r="X257" s="923"/>
      <c r="Y257" s="514"/>
      <c r="Z257" s="920"/>
    </row>
    <row r="258" spans="1:26" ht="14.25" customHeight="1">
      <c r="B258" s="622"/>
      <c r="C258" s="623"/>
      <c r="D258" s="623"/>
      <c r="E258" s="624"/>
      <c r="F258" s="625"/>
      <c r="G258" s="626"/>
      <c r="H258" s="711"/>
      <c r="I258" s="920"/>
      <c r="J258" s="920"/>
      <c r="K258" s="262"/>
      <c r="L258" s="330">
        <v>10</v>
      </c>
      <c r="M258" s="331" t="s">
        <v>1136</v>
      </c>
      <c r="N258" s="331"/>
      <c r="O258" s="581"/>
      <c r="P258" s="464"/>
      <c r="Q258" s="333"/>
      <c r="R258" s="904"/>
      <c r="S258" s="660"/>
      <c r="T258" s="564" t="str">
        <f t="shared" si="38"/>
        <v/>
      </c>
      <c r="U258" s="548">
        <f t="shared" si="34"/>
        <v>0</v>
      </c>
      <c r="V258" s="929"/>
      <c r="W258" s="620"/>
      <c r="X258" s="923"/>
      <c r="Y258" s="514"/>
      <c r="Z258" s="920"/>
    </row>
    <row r="259" spans="1:26" ht="14.25" customHeight="1">
      <c r="B259" s="622"/>
      <c r="C259" s="623"/>
      <c r="D259" s="623"/>
      <c r="E259" s="624"/>
      <c r="F259" s="625"/>
      <c r="G259" s="626"/>
      <c r="H259" s="711"/>
      <c r="I259" s="920"/>
      <c r="J259" s="920"/>
      <c r="K259" s="262"/>
      <c r="L259" s="330">
        <v>10</v>
      </c>
      <c r="M259" s="331" t="s">
        <v>1136</v>
      </c>
      <c r="N259" s="331"/>
      <c r="O259" s="581"/>
      <c r="P259" s="464"/>
      <c r="Q259" s="333"/>
      <c r="R259" s="904"/>
      <c r="S259" s="660"/>
      <c r="T259" s="564" t="str">
        <f t="shared" si="38"/>
        <v/>
      </c>
      <c r="U259" s="548">
        <f t="shared" si="34"/>
        <v>0</v>
      </c>
      <c r="V259" s="929"/>
      <c r="W259" s="620"/>
      <c r="X259" s="923"/>
      <c r="Y259" s="514"/>
      <c r="Z259" s="920"/>
    </row>
    <row r="260" spans="1:26" ht="14.25" customHeight="1">
      <c r="B260" s="622"/>
      <c r="C260" s="623"/>
      <c r="D260" s="623"/>
      <c r="E260" s="624"/>
      <c r="F260" s="625"/>
      <c r="G260" s="626"/>
      <c r="H260" s="711"/>
      <c r="I260" s="920"/>
      <c r="J260" s="920"/>
      <c r="K260" s="262"/>
      <c r="L260" s="330">
        <v>10</v>
      </c>
      <c r="M260" s="331" t="s">
        <v>1136</v>
      </c>
      <c r="N260" s="331"/>
      <c r="O260" s="581"/>
      <c r="P260" s="464"/>
      <c r="Q260" s="333"/>
      <c r="R260" s="904"/>
      <c r="S260" s="660"/>
      <c r="T260" s="564" t="str">
        <f t="shared" si="38"/>
        <v/>
      </c>
      <c r="U260" s="548">
        <f t="shared" si="34"/>
        <v>0</v>
      </c>
      <c r="V260" s="929"/>
      <c r="W260" s="620"/>
      <c r="X260" s="923"/>
      <c r="Y260" s="514"/>
      <c r="Z260" s="920"/>
    </row>
    <row r="261" spans="1:26" ht="14.25" customHeight="1">
      <c r="B261" s="622"/>
      <c r="C261" s="623"/>
      <c r="D261" s="623"/>
      <c r="E261" s="624"/>
      <c r="F261" s="625"/>
      <c r="G261" s="626"/>
      <c r="H261" s="711"/>
      <c r="I261" s="920"/>
      <c r="J261" s="920"/>
      <c r="K261" s="262"/>
      <c r="L261" s="330">
        <v>10</v>
      </c>
      <c r="M261" s="331" t="s">
        <v>1136</v>
      </c>
      <c r="N261" s="331"/>
      <c r="O261" s="581"/>
      <c r="P261" s="464"/>
      <c r="Q261" s="333"/>
      <c r="R261" s="904"/>
      <c r="S261" s="660"/>
      <c r="T261" s="564" t="str">
        <f t="shared" si="38"/>
        <v/>
      </c>
      <c r="U261" s="548">
        <f t="shared" si="34"/>
        <v>0</v>
      </c>
      <c r="V261" s="929"/>
      <c r="W261" s="620"/>
      <c r="X261" s="923"/>
      <c r="Y261" s="514"/>
      <c r="Z261" s="920"/>
    </row>
    <row r="262" spans="1:26" ht="14.25" customHeight="1">
      <c r="B262" s="622"/>
      <c r="C262" s="623"/>
      <c r="D262" s="623"/>
      <c r="E262" s="624"/>
      <c r="F262" s="625"/>
      <c r="G262" s="626"/>
      <c r="H262" s="711"/>
      <c r="I262" s="920"/>
      <c r="J262" s="920"/>
      <c r="K262" s="262"/>
      <c r="L262" s="330">
        <v>10</v>
      </c>
      <c r="M262" s="331" t="s">
        <v>1136</v>
      </c>
      <c r="N262" s="331"/>
      <c r="O262" s="581"/>
      <c r="P262" s="464"/>
      <c r="Q262" s="333"/>
      <c r="R262" s="904"/>
      <c r="S262" s="660"/>
      <c r="T262" s="564" t="str">
        <f t="shared" si="38"/>
        <v/>
      </c>
      <c r="U262" s="548">
        <f t="shared" si="34"/>
        <v>0</v>
      </c>
      <c r="V262" s="929"/>
      <c r="W262" s="620"/>
      <c r="X262" s="923"/>
      <c r="Y262" s="514"/>
      <c r="Z262" s="920"/>
    </row>
    <row r="263" spans="1:26" ht="14.25" customHeight="1">
      <c r="B263" s="622"/>
      <c r="C263" s="623"/>
      <c r="D263" s="623"/>
      <c r="E263" s="624"/>
      <c r="F263" s="625"/>
      <c r="G263" s="626"/>
      <c r="H263" s="711"/>
      <c r="I263" s="920"/>
      <c r="J263" s="920"/>
      <c r="K263" s="262"/>
      <c r="L263" s="330">
        <v>10</v>
      </c>
      <c r="M263" s="331" t="s">
        <v>1136</v>
      </c>
      <c r="N263" s="331"/>
      <c r="O263" s="581"/>
      <c r="P263" s="464"/>
      <c r="Q263" s="333"/>
      <c r="R263" s="904"/>
      <c r="S263" s="660"/>
      <c r="T263" s="564" t="str">
        <f t="shared" si="38"/>
        <v/>
      </c>
      <c r="U263" s="548">
        <f t="shared" si="34"/>
        <v>0</v>
      </c>
      <c r="V263" s="929"/>
      <c r="W263" s="620"/>
      <c r="X263" s="923"/>
      <c r="Y263" s="514"/>
      <c r="Z263" s="920"/>
    </row>
    <row r="264" spans="1:26" ht="15" customHeight="1" thickBot="1">
      <c r="B264" s="263">
        <v>10</v>
      </c>
      <c r="C264" s="334"/>
      <c r="D264" s="334"/>
      <c r="E264" s="335"/>
      <c r="F264" s="465"/>
      <c r="G264" s="264"/>
      <c r="H264" s="712"/>
      <c r="I264" s="921"/>
      <c r="J264" s="921"/>
      <c r="K264" s="265"/>
      <c r="L264" s="263">
        <v>10</v>
      </c>
      <c r="M264" s="429" t="s">
        <v>1136</v>
      </c>
      <c r="N264" s="334"/>
      <c r="O264" s="335"/>
      <c r="P264" s="465"/>
      <c r="Q264" s="488"/>
      <c r="R264" s="905"/>
      <c r="S264" s="661"/>
      <c r="T264" s="565" t="str">
        <f t="shared" si="38"/>
        <v/>
      </c>
      <c r="U264" s="549">
        <f t="shared" si="34"/>
        <v>0</v>
      </c>
      <c r="V264" s="930"/>
      <c r="W264" s="621"/>
      <c r="X264" s="924"/>
      <c r="Y264" s="515"/>
      <c r="Z264" s="921"/>
    </row>
    <row r="265" spans="1:26" ht="14.5" thickBot="1">
      <c r="A265" s="24"/>
      <c r="B265" s="266"/>
      <c r="C265" s="267"/>
      <c r="D265" s="267"/>
      <c r="E265" s="281"/>
      <c r="F265" s="449"/>
      <c r="G265" s="269"/>
      <c r="H265" s="696"/>
      <c r="I265" s="270"/>
      <c r="J265" s="394"/>
      <c r="K265" s="24"/>
      <c r="L265" s="266"/>
      <c r="M265" s="267"/>
      <c r="N265" s="267"/>
      <c r="O265" s="281"/>
      <c r="P265" s="449"/>
      <c r="Q265" s="489"/>
      <c r="R265" s="906"/>
      <c r="S265" s="662"/>
      <c r="T265" s="553" t="str">
        <f>IF(W265&gt;1,EOMONTH(W265,0),"")</f>
        <v/>
      </c>
      <c r="U265" s="537"/>
      <c r="V265" s="522"/>
      <c r="W265" s="610"/>
      <c r="X265" s="340"/>
      <c r="Y265" s="508"/>
      <c r="Z265" s="270"/>
    </row>
    <row r="266" spans="1:26" ht="14.25" customHeight="1">
      <c r="B266" s="271">
        <v>11</v>
      </c>
      <c r="C266" s="272" t="s">
        <v>1164</v>
      </c>
      <c r="D266" s="341" t="s">
        <v>1165</v>
      </c>
      <c r="E266" s="273"/>
      <c r="F266" s="430"/>
      <c r="G266" s="274">
        <v>1500000</v>
      </c>
      <c r="H266" s="701">
        <v>45991</v>
      </c>
      <c r="I266" s="913">
        <f>SUM(G266:G314)</f>
        <v>1730000</v>
      </c>
      <c r="J266" s="913">
        <v>1880434.7826087</v>
      </c>
      <c r="K266" s="275"/>
      <c r="L266" s="271">
        <v>11</v>
      </c>
      <c r="M266" s="341" t="s">
        <v>1166</v>
      </c>
      <c r="N266" s="341" t="s">
        <v>1165</v>
      </c>
      <c r="O266" s="273"/>
      <c r="P266" s="430"/>
      <c r="Q266" s="480">
        <v>1000000</v>
      </c>
      <c r="R266" s="873"/>
      <c r="S266" s="653"/>
      <c r="T266" s="557">
        <f>IF(W266&gt;1,EOMONTH(W266,0),"")</f>
        <v>46203</v>
      </c>
      <c r="U266" s="542">
        <f t="shared" ref="U266:U294" si="40">(Q266/$X$266*$J$266)</f>
        <v>893953.33929831558</v>
      </c>
      <c r="V266" s="925">
        <f>J266-SUM(U266:U314)</f>
        <v>0</v>
      </c>
      <c r="W266" s="614">
        <v>46203</v>
      </c>
      <c r="X266" s="910">
        <f>SUM(Q266:Q314)</f>
        <v>2103504.4000000004</v>
      </c>
      <c r="Y266" s="511"/>
      <c r="Z266" s="913">
        <f>I266-X266</f>
        <v>-373504.40000000037</v>
      </c>
    </row>
    <row r="267" spans="1:26" ht="15" customHeight="1">
      <c r="B267" s="301">
        <v>11</v>
      </c>
      <c r="C267" s="303"/>
      <c r="D267" s="303" t="s">
        <v>1167</v>
      </c>
      <c r="E267" s="304"/>
      <c r="F267" s="452"/>
      <c r="G267" s="305">
        <v>150000</v>
      </c>
      <c r="H267" s="693">
        <v>45785</v>
      </c>
      <c r="I267" s="914"/>
      <c r="J267" s="914"/>
      <c r="K267" s="278"/>
      <c r="L267" s="301">
        <v>11</v>
      </c>
      <c r="M267" s="381" t="s">
        <v>1166</v>
      </c>
      <c r="N267" s="303" t="s">
        <v>1168</v>
      </c>
      <c r="O267" s="304"/>
      <c r="P267" s="452"/>
      <c r="Q267" s="475">
        <v>15630</v>
      </c>
      <c r="R267" s="888" t="s">
        <v>1169</v>
      </c>
      <c r="S267" s="645" t="s">
        <v>1170</v>
      </c>
      <c r="T267" s="550">
        <v>46081</v>
      </c>
      <c r="U267" s="534">
        <f t="shared" si="40"/>
        <v>13972.490693232672</v>
      </c>
      <c r="V267" s="926"/>
      <c r="W267" s="566">
        <v>45785</v>
      </c>
      <c r="X267" s="911"/>
      <c r="Y267" s="507"/>
      <c r="Z267" s="914"/>
    </row>
    <row r="268" spans="1:26" ht="15" customHeight="1">
      <c r="B268" s="301">
        <v>11</v>
      </c>
      <c r="C268" s="303"/>
      <c r="D268" s="303" t="s">
        <v>1171</v>
      </c>
      <c r="E268" s="304"/>
      <c r="F268" s="452"/>
      <c r="G268" s="305">
        <v>80000</v>
      </c>
      <c r="H268" s="693">
        <v>45807</v>
      </c>
      <c r="I268" s="914"/>
      <c r="J268" s="914"/>
      <c r="K268" s="278"/>
      <c r="L268" s="301">
        <v>11</v>
      </c>
      <c r="M268" s="381" t="s">
        <v>1166</v>
      </c>
      <c r="N268" s="303" t="s">
        <v>1171</v>
      </c>
      <c r="O268" s="304"/>
      <c r="P268" s="452"/>
      <c r="Q268" s="475">
        <v>102900</v>
      </c>
      <c r="R268" s="888" t="s">
        <v>1172</v>
      </c>
      <c r="S268" s="645" t="s">
        <v>1173</v>
      </c>
      <c r="T268" s="550">
        <v>46081</v>
      </c>
      <c r="U268" s="534">
        <f t="shared" si="40"/>
        <v>91987.798613796665</v>
      </c>
      <c r="V268" s="926"/>
      <c r="W268" s="607">
        <v>46112</v>
      </c>
      <c r="X268" s="911"/>
      <c r="Y268" s="507"/>
      <c r="Z268" s="914"/>
    </row>
    <row r="269" spans="1:26" ht="15" customHeight="1">
      <c r="B269" s="301">
        <v>11</v>
      </c>
      <c r="C269" s="379"/>
      <c r="D269" s="379"/>
      <c r="E269" s="399"/>
      <c r="F269" s="437"/>
      <c r="G269" s="378"/>
      <c r="H269" s="694"/>
      <c r="I269" s="914"/>
      <c r="J269" s="914"/>
      <c r="K269" s="278"/>
      <c r="L269" s="301">
        <v>11</v>
      </c>
      <c r="M269" s="381" t="s">
        <v>1166</v>
      </c>
      <c r="N269" s="379" t="s">
        <v>1174</v>
      </c>
      <c r="O269" s="399"/>
      <c r="P269" s="437"/>
      <c r="Q269" s="485">
        <v>2400</v>
      </c>
      <c r="R269" s="887"/>
      <c r="S269" s="646" t="s">
        <v>1175</v>
      </c>
      <c r="T269" s="550">
        <v>46081</v>
      </c>
      <c r="U269" s="535">
        <f t="shared" si="40"/>
        <v>2145.4880143159571</v>
      </c>
      <c r="V269" s="926"/>
      <c r="W269" s="567">
        <v>45785</v>
      </c>
      <c r="X269" s="911"/>
      <c r="Y269" s="507"/>
      <c r="Z269" s="914"/>
    </row>
    <row r="270" spans="1:26" ht="15" hidden="1" customHeight="1">
      <c r="B270" s="301">
        <v>11</v>
      </c>
      <c r="C270" s="379"/>
      <c r="D270" s="379"/>
      <c r="E270" s="399"/>
      <c r="F270" s="437"/>
      <c r="G270" s="378"/>
      <c r="H270" s="694"/>
      <c r="I270" s="914"/>
      <c r="J270" s="914"/>
      <c r="K270" s="278"/>
      <c r="L270" s="301">
        <v>11</v>
      </c>
      <c r="M270" s="381" t="s">
        <v>1166</v>
      </c>
      <c r="N270" s="379" t="s">
        <v>1176</v>
      </c>
      <c r="O270" s="399"/>
      <c r="P270" s="437">
        <v>356680</v>
      </c>
      <c r="Q270" s="485"/>
      <c r="R270" s="887"/>
      <c r="S270" s="646"/>
      <c r="T270" s="551"/>
      <c r="U270" s="535">
        <f t="shared" si="40"/>
        <v>0</v>
      </c>
      <c r="V270" s="926"/>
      <c r="W270" s="608"/>
      <c r="X270" s="911"/>
      <c r="Y270" s="507"/>
      <c r="Z270" s="914"/>
    </row>
    <row r="271" spans="1:26" ht="15" hidden="1" customHeight="1">
      <c r="B271" s="301">
        <v>11</v>
      </c>
      <c r="C271" s="379"/>
      <c r="D271" s="379"/>
      <c r="E271" s="399"/>
      <c r="F271" s="437"/>
      <c r="G271" s="378"/>
      <c r="H271" s="694"/>
      <c r="I271" s="914"/>
      <c r="J271" s="914"/>
      <c r="K271" s="278"/>
      <c r="L271" s="301">
        <v>11</v>
      </c>
      <c r="M271" s="381" t="s">
        <v>1166</v>
      </c>
      <c r="N271" s="379" t="s">
        <v>1177</v>
      </c>
      <c r="O271" s="399"/>
      <c r="P271" s="485">
        <v>57615</v>
      </c>
      <c r="Q271" s="485"/>
      <c r="R271" s="887" t="s">
        <v>1178</v>
      </c>
      <c r="S271" s="646"/>
      <c r="T271" s="551"/>
      <c r="U271" s="535">
        <f t="shared" si="40"/>
        <v>0</v>
      </c>
      <c r="V271" s="926"/>
      <c r="W271" s="607"/>
      <c r="X271" s="911"/>
      <c r="Y271" s="507"/>
      <c r="Z271" s="914"/>
    </row>
    <row r="272" spans="1:26" ht="15" customHeight="1">
      <c r="B272" s="301">
        <v>11</v>
      </c>
      <c r="C272" s="379"/>
      <c r="D272" s="379"/>
      <c r="E272" s="399"/>
      <c r="F272" s="437"/>
      <c r="G272" s="378"/>
      <c r="H272" s="694"/>
      <c r="I272" s="914"/>
      <c r="J272" s="914"/>
      <c r="K272" s="278"/>
      <c r="L272" s="301">
        <v>11</v>
      </c>
      <c r="M272" s="381" t="s">
        <v>1166</v>
      </c>
      <c r="N272" s="818" t="s">
        <v>1179</v>
      </c>
      <c r="O272" s="868"/>
      <c r="P272" s="866"/>
      <c r="Q272" s="869">
        <v>306500</v>
      </c>
      <c r="R272" s="887" t="s">
        <v>1180</v>
      </c>
      <c r="S272" s="646"/>
      <c r="T272" s="551">
        <v>46081</v>
      </c>
      <c r="U272" s="535">
        <f t="shared" si="40"/>
        <v>273996.69849493372</v>
      </c>
      <c r="V272" s="926"/>
      <c r="W272" s="608">
        <f>T272+30</f>
        <v>46111</v>
      </c>
      <c r="X272" s="911"/>
      <c r="Y272" s="507"/>
      <c r="Z272" s="914"/>
    </row>
    <row r="273" spans="2:26" ht="15" customHeight="1" thickBot="1">
      <c r="B273" s="301">
        <v>11</v>
      </c>
      <c r="C273" s="379"/>
      <c r="D273" s="379"/>
      <c r="E273" s="399"/>
      <c r="F273" s="437"/>
      <c r="G273" s="378"/>
      <c r="H273" s="694"/>
      <c r="I273" s="914"/>
      <c r="J273" s="914"/>
      <c r="K273" s="278"/>
      <c r="L273" s="301">
        <v>11</v>
      </c>
      <c r="M273" s="381" t="s">
        <v>1166</v>
      </c>
      <c r="N273" s="379" t="s">
        <v>1181</v>
      </c>
      <c r="O273" s="399"/>
      <c r="P273" s="437"/>
      <c r="Q273" s="485">
        <v>11500</v>
      </c>
      <c r="R273" s="887" t="s">
        <v>1182</v>
      </c>
      <c r="S273" s="646"/>
      <c r="T273" s="551">
        <v>46081</v>
      </c>
      <c r="U273" s="535">
        <f t="shared" si="40"/>
        <v>10280.463401930629</v>
      </c>
      <c r="V273" s="926"/>
      <c r="W273" s="608">
        <f>T273+30</f>
        <v>46111</v>
      </c>
      <c r="X273" s="911"/>
      <c r="Y273" s="507"/>
      <c r="Z273" s="914"/>
    </row>
    <row r="274" spans="2:26" ht="15" hidden="1" customHeight="1">
      <c r="B274" s="301">
        <v>11</v>
      </c>
      <c r="C274" s="379"/>
      <c r="D274" s="379"/>
      <c r="E274" s="399"/>
      <c r="F274" s="437"/>
      <c r="G274" s="378"/>
      <c r="H274" s="694"/>
      <c r="I274" s="914"/>
      <c r="J274" s="914"/>
      <c r="K274" s="278"/>
      <c r="L274" s="301">
        <v>11</v>
      </c>
      <c r="M274" s="381" t="s">
        <v>1166</v>
      </c>
      <c r="N274" s="379" t="s">
        <v>1183</v>
      </c>
      <c r="O274" s="399"/>
      <c r="P274" s="437">
        <v>57305</v>
      </c>
      <c r="Q274" s="485"/>
      <c r="R274" s="887" t="s">
        <v>1184</v>
      </c>
      <c r="S274" s="646"/>
      <c r="T274" s="551"/>
      <c r="U274" s="535">
        <f t="shared" si="40"/>
        <v>0</v>
      </c>
      <c r="V274" s="926"/>
      <c r="W274" s="608"/>
      <c r="X274" s="911"/>
      <c r="Y274" s="507"/>
      <c r="Z274" s="914"/>
    </row>
    <row r="275" spans="2:26" ht="15" customHeight="1">
      <c r="B275" s="301">
        <v>11</v>
      </c>
      <c r="C275" s="379"/>
      <c r="D275" s="379"/>
      <c r="E275" s="399"/>
      <c r="F275" s="437"/>
      <c r="G275" s="378"/>
      <c r="H275" s="694"/>
      <c r="I275" s="914"/>
      <c r="J275" s="914"/>
      <c r="K275" s="278"/>
      <c r="L275" s="301">
        <v>11</v>
      </c>
      <c r="M275" s="381" t="s">
        <v>1166</v>
      </c>
      <c r="N275" s="766" t="s">
        <v>1185</v>
      </c>
      <c r="O275" s="455"/>
      <c r="P275" s="461"/>
      <c r="Q275" s="767"/>
      <c r="R275" s="935" t="s">
        <v>1186</v>
      </c>
      <c r="S275" s="646"/>
      <c r="T275" s="826"/>
      <c r="U275" s="535">
        <f t="shared" si="40"/>
        <v>0</v>
      </c>
      <c r="V275" s="926"/>
      <c r="W275" s="567"/>
      <c r="X275" s="911"/>
      <c r="Y275" s="507"/>
      <c r="Z275" s="914"/>
    </row>
    <row r="276" spans="2:26" ht="15" customHeight="1">
      <c r="B276" s="301"/>
      <c r="C276" s="379"/>
      <c r="D276" s="379"/>
      <c r="E276" s="399"/>
      <c r="F276" s="437"/>
      <c r="G276" s="378"/>
      <c r="H276" s="694"/>
      <c r="I276" s="914"/>
      <c r="J276" s="914"/>
      <c r="K276" s="278"/>
      <c r="L276" s="301">
        <v>11</v>
      </c>
      <c r="M276" s="381" t="s">
        <v>1166</v>
      </c>
      <c r="N276" s="870">
        <v>46054</v>
      </c>
      <c r="O276" s="399"/>
      <c r="P276" s="437"/>
      <c r="Q276" s="769">
        <v>6500</v>
      </c>
      <c r="R276" s="936"/>
      <c r="S276" s="646" t="s">
        <v>1187</v>
      </c>
      <c r="T276" s="826">
        <v>46081</v>
      </c>
      <c r="U276" s="535">
        <f t="shared" si="40"/>
        <v>5810.6967054390516</v>
      </c>
      <c r="V276" s="926"/>
      <c r="W276" s="567">
        <v>46066</v>
      </c>
      <c r="X276" s="911"/>
      <c r="Y276" s="507"/>
      <c r="Z276" s="914"/>
    </row>
    <row r="277" spans="2:26" ht="15" customHeight="1">
      <c r="B277" s="301"/>
      <c r="C277" s="379"/>
      <c r="D277" s="379"/>
      <c r="E277" s="399"/>
      <c r="F277" s="437"/>
      <c r="G277" s="378"/>
      <c r="H277" s="694"/>
      <c r="I277" s="914"/>
      <c r="J277" s="914"/>
      <c r="K277" s="278"/>
      <c r="L277" s="301">
        <v>11</v>
      </c>
      <c r="M277" s="381" t="s">
        <v>1166</v>
      </c>
      <c r="N277" s="870">
        <v>46082</v>
      </c>
      <c r="O277" s="399"/>
      <c r="P277" s="437"/>
      <c r="Q277" s="769">
        <v>6500</v>
      </c>
      <c r="R277" s="936"/>
      <c r="S277" s="646"/>
      <c r="T277" s="551">
        <v>46112</v>
      </c>
      <c r="U277" s="535">
        <f t="shared" si="40"/>
        <v>5810.6967054390516</v>
      </c>
      <c r="V277" s="926"/>
      <c r="W277" s="608">
        <f>T277</f>
        <v>46112</v>
      </c>
      <c r="X277" s="911"/>
      <c r="Y277" s="507"/>
      <c r="Z277" s="914"/>
    </row>
    <row r="278" spans="2:26" ht="15" customHeight="1">
      <c r="B278" s="301"/>
      <c r="C278" s="379"/>
      <c r="D278" s="379"/>
      <c r="E278" s="399"/>
      <c r="F278" s="437"/>
      <c r="G278" s="378"/>
      <c r="H278" s="694"/>
      <c r="I278" s="914"/>
      <c r="J278" s="914"/>
      <c r="K278" s="278"/>
      <c r="L278" s="301">
        <v>11</v>
      </c>
      <c r="M278" s="381" t="s">
        <v>1166</v>
      </c>
      <c r="N278" s="870">
        <v>46113</v>
      </c>
      <c r="O278" s="399"/>
      <c r="P278" s="437"/>
      <c r="Q278" s="769">
        <v>6500</v>
      </c>
      <c r="R278" s="936"/>
      <c r="S278" s="646"/>
      <c r="T278" s="551">
        <v>46142</v>
      </c>
      <c r="U278" s="535">
        <f t="shared" si="40"/>
        <v>5810.6967054390516</v>
      </c>
      <c r="V278" s="926"/>
      <c r="W278" s="608">
        <f t="shared" ref="W278:W292" si="41">T278</f>
        <v>46142</v>
      </c>
      <c r="X278" s="911"/>
      <c r="Y278" s="507"/>
      <c r="Z278" s="914"/>
    </row>
    <row r="279" spans="2:26" ht="15" customHeight="1">
      <c r="B279" s="301"/>
      <c r="C279" s="379"/>
      <c r="D279" s="379"/>
      <c r="E279" s="399"/>
      <c r="F279" s="437"/>
      <c r="G279" s="378"/>
      <c r="H279" s="694"/>
      <c r="I279" s="914"/>
      <c r="J279" s="914"/>
      <c r="K279" s="278"/>
      <c r="L279" s="301">
        <v>11</v>
      </c>
      <c r="M279" s="381" t="s">
        <v>1166</v>
      </c>
      <c r="N279" s="870">
        <v>46143</v>
      </c>
      <c r="O279" s="399"/>
      <c r="P279" s="437"/>
      <c r="Q279" s="769">
        <v>6500</v>
      </c>
      <c r="R279" s="936"/>
      <c r="S279" s="646"/>
      <c r="T279" s="551">
        <v>46173</v>
      </c>
      <c r="U279" s="535">
        <f t="shared" si="40"/>
        <v>5810.6967054390516</v>
      </c>
      <c r="V279" s="926"/>
      <c r="W279" s="608">
        <f t="shared" si="41"/>
        <v>46173</v>
      </c>
      <c r="X279" s="911"/>
      <c r="Y279" s="507"/>
      <c r="Z279" s="914"/>
    </row>
    <row r="280" spans="2:26" ht="15" customHeight="1">
      <c r="B280" s="301"/>
      <c r="C280" s="379"/>
      <c r="D280" s="379"/>
      <c r="E280" s="399"/>
      <c r="F280" s="437"/>
      <c r="G280" s="378"/>
      <c r="H280" s="694"/>
      <c r="I280" s="914"/>
      <c r="J280" s="914"/>
      <c r="K280" s="278"/>
      <c r="L280" s="301">
        <v>11</v>
      </c>
      <c r="M280" s="381" t="s">
        <v>1166</v>
      </c>
      <c r="N280" s="870">
        <v>46174</v>
      </c>
      <c r="O280" s="399"/>
      <c r="P280" s="437"/>
      <c r="Q280" s="769">
        <v>6500</v>
      </c>
      <c r="R280" s="936"/>
      <c r="S280" s="646"/>
      <c r="T280" s="551">
        <v>46203</v>
      </c>
      <c r="U280" s="535">
        <f t="shared" si="40"/>
        <v>5810.6967054390516</v>
      </c>
      <c r="V280" s="926"/>
      <c r="W280" s="608">
        <f t="shared" si="41"/>
        <v>46203</v>
      </c>
      <c r="X280" s="911"/>
      <c r="Y280" s="507"/>
      <c r="Z280" s="914"/>
    </row>
    <row r="281" spans="2:26" ht="15" customHeight="1">
      <c r="B281" s="301"/>
      <c r="C281" s="379"/>
      <c r="D281" s="379"/>
      <c r="E281" s="399"/>
      <c r="F281" s="437"/>
      <c r="G281" s="378"/>
      <c r="H281" s="694"/>
      <c r="I281" s="914"/>
      <c r="J281" s="914"/>
      <c r="K281" s="278"/>
      <c r="L281" s="301">
        <v>11</v>
      </c>
      <c r="M281" s="381" t="s">
        <v>1166</v>
      </c>
      <c r="N281" s="870">
        <v>46204</v>
      </c>
      <c r="O281" s="399"/>
      <c r="P281" s="437"/>
      <c r="Q281" s="769">
        <v>6500</v>
      </c>
      <c r="R281" s="936"/>
      <c r="S281" s="646"/>
      <c r="T281" s="551">
        <v>46234</v>
      </c>
      <c r="U281" s="535">
        <f t="shared" si="40"/>
        <v>5810.6967054390516</v>
      </c>
      <c r="V281" s="926"/>
      <c r="W281" s="608">
        <f t="shared" si="41"/>
        <v>46234</v>
      </c>
      <c r="X281" s="911"/>
      <c r="Y281" s="507"/>
      <c r="Z281" s="914"/>
    </row>
    <row r="282" spans="2:26" ht="15" customHeight="1">
      <c r="B282" s="301"/>
      <c r="C282" s="379"/>
      <c r="D282" s="379"/>
      <c r="E282" s="399"/>
      <c r="F282" s="437"/>
      <c r="G282" s="378"/>
      <c r="H282" s="694"/>
      <c r="I282" s="914"/>
      <c r="J282" s="914"/>
      <c r="K282" s="278"/>
      <c r="L282" s="301">
        <v>11</v>
      </c>
      <c r="M282" s="381" t="s">
        <v>1166</v>
      </c>
      <c r="N282" s="870">
        <v>46235</v>
      </c>
      <c r="O282" s="399"/>
      <c r="P282" s="437"/>
      <c r="Q282" s="769">
        <v>6500</v>
      </c>
      <c r="R282" s="936"/>
      <c r="S282" s="646"/>
      <c r="T282" s="551">
        <v>46265</v>
      </c>
      <c r="U282" s="535">
        <f t="shared" si="40"/>
        <v>5810.6967054390516</v>
      </c>
      <c r="V282" s="926"/>
      <c r="W282" s="608">
        <f t="shared" si="41"/>
        <v>46265</v>
      </c>
      <c r="X282" s="911"/>
      <c r="Y282" s="507"/>
      <c r="Z282" s="914"/>
    </row>
    <row r="283" spans="2:26" ht="15" customHeight="1">
      <c r="B283" s="301"/>
      <c r="C283" s="379"/>
      <c r="D283" s="379"/>
      <c r="E283" s="399"/>
      <c r="F283" s="437"/>
      <c r="G283" s="378"/>
      <c r="H283" s="694"/>
      <c r="I283" s="914"/>
      <c r="J283" s="914"/>
      <c r="K283" s="278"/>
      <c r="L283" s="301">
        <v>11</v>
      </c>
      <c r="M283" s="381" t="s">
        <v>1166</v>
      </c>
      <c r="N283" s="870">
        <v>46266</v>
      </c>
      <c r="O283" s="399"/>
      <c r="P283" s="437"/>
      <c r="Q283" s="769">
        <v>6500</v>
      </c>
      <c r="R283" s="936"/>
      <c r="S283" s="646"/>
      <c r="T283" s="551">
        <v>46295</v>
      </c>
      <c r="U283" s="535">
        <f t="shared" si="40"/>
        <v>5810.6967054390516</v>
      </c>
      <c r="V283" s="926"/>
      <c r="W283" s="608">
        <f t="shared" si="41"/>
        <v>46295</v>
      </c>
      <c r="X283" s="911"/>
      <c r="Y283" s="507"/>
      <c r="Z283" s="914"/>
    </row>
    <row r="284" spans="2:26" ht="15" customHeight="1" thickBot="1">
      <c r="B284" s="301"/>
      <c r="C284" s="379"/>
      <c r="D284" s="379"/>
      <c r="E284" s="399"/>
      <c r="F284" s="437"/>
      <c r="G284" s="378"/>
      <c r="H284" s="694"/>
      <c r="I284" s="914"/>
      <c r="J284" s="914"/>
      <c r="K284" s="278"/>
      <c r="L284" s="301">
        <v>11</v>
      </c>
      <c r="M284" s="381" t="s">
        <v>1166</v>
      </c>
      <c r="N284" s="871">
        <v>46296</v>
      </c>
      <c r="O284" s="308"/>
      <c r="P284" s="453"/>
      <c r="Q284" s="872">
        <v>6500</v>
      </c>
      <c r="R284" s="936"/>
      <c r="S284" s="646"/>
      <c r="T284" s="551">
        <v>46326</v>
      </c>
      <c r="U284" s="535">
        <f t="shared" si="40"/>
        <v>5810.6967054390516</v>
      </c>
      <c r="V284" s="926"/>
      <c r="W284" s="608">
        <f t="shared" si="41"/>
        <v>46326</v>
      </c>
      <c r="X284" s="911"/>
      <c r="Y284" s="507"/>
      <c r="Z284" s="914"/>
    </row>
    <row r="285" spans="2:26" ht="15" customHeight="1">
      <c r="B285" s="301"/>
      <c r="C285" s="379"/>
      <c r="D285" s="379"/>
      <c r="E285" s="399"/>
      <c r="F285" s="437"/>
      <c r="G285" s="378"/>
      <c r="H285" s="694"/>
      <c r="I285" s="914"/>
      <c r="J285" s="914"/>
      <c r="K285" s="278"/>
      <c r="L285" s="301">
        <v>11</v>
      </c>
      <c r="M285" s="381" t="s">
        <v>1166</v>
      </c>
      <c r="N285" s="766" t="s">
        <v>1188</v>
      </c>
      <c r="O285" s="455"/>
      <c r="P285" s="461"/>
      <c r="Q285" s="767"/>
      <c r="R285" s="936"/>
      <c r="S285" s="646"/>
      <c r="T285" s="551"/>
      <c r="U285" s="535">
        <f t="shared" si="40"/>
        <v>0</v>
      </c>
      <c r="V285" s="926"/>
      <c r="W285" s="608"/>
      <c r="X285" s="911"/>
      <c r="Y285" s="507"/>
      <c r="Z285" s="914"/>
    </row>
    <row r="286" spans="2:26" ht="15" customHeight="1">
      <c r="B286" s="301"/>
      <c r="C286" s="379"/>
      <c r="D286" s="379"/>
      <c r="E286" s="399"/>
      <c r="F286" s="437"/>
      <c r="G286" s="378"/>
      <c r="H286" s="694"/>
      <c r="I286" s="914"/>
      <c r="J286" s="914"/>
      <c r="K286" s="278"/>
      <c r="L286" s="301">
        <v>11</v>
      </c>
      <c r="M286" s="381" t="s">
        <v>1166</v>
      </c>
      <c r="N286" s="870">
        <v>46113</v>
      </c>
      <c r="O286" s="399"/>
      <c r="P286" s="437"/>
      <c r="Q286" s="769">
        <v>51000</v>
      </c>
      <c r="R286" s="936"/>
      <c r="S286" s="646"/>
      <c r="T286" s="551">
        <v>46142</v>
      </c>
      <c r="U286" s="535">
        <f t="shared" si="40"/>
        <v>45591.620304214091</v>
      </c>
      <c r="V286" s="926"/>
      <c r="W286" s="608">
        <f t="shared" si="41"/>
        <v>46142</v>
      </c>
      <c r="X286" s="911"/>
      <c r="Y286" s="507"/>
      <c r="Z286" s="914"/>
    </row>
    <row r="287" spans="2:26" ht="15" customHeight="1">
      <c r="B287" s="301"/>
      <c r="C287" s="379"/>
      <c r="D287" s="379"/>
      <c r="E287" s="399"/>
      <c r="F287" s="437"/>
      <c r="G287" s="378"/>
      <c r="H287" s="694"/>
      <c r="I287" s="914"/>
      <c r="J287" s="914"/>
      <c r="K287" s="278"/>
      <c r="L287" s="301">
        <v>11</v>
      </c>
      <c r="M287" s="381" t="s">
        <v>1166</v>
      </c>
      <c r="N287" s="870">
        <v>46143</v>
      </c>
      <c r="O287" s="399"/>
      <c r="P287" s="437"/>
      <c r="Q287" s="769">
        <v>51000</v>
      </c>
      <c r="R287" s="936"/>
      <c r="S287" s="646"/>
      <c r="T287" s="551">
        <v>46173</v>
      </c>
      <c r="U287" s="535">
        <f t="shared" si="40"/>
        <v>45591.620304214091</v>
      </c>
      <c r="V287" s="926"/>
      <c r="W287" s="608">
        <f t="shared" si="41"/>
        <v>46173</v>
      </c>
      <c r="X287" s="911"/>
      <c r="Y287" s="507"/>
      <c r="Z287" s="914"/>
    </row>
    <row r="288" spans="2:26" ht="15" customHeight="1">
      <c r="B288" s="301"/>
      <c r="C288" s="379"/>
      <c r="D288" s="379"/>
      <c r="E288" s="399"/>
      <c r="F288" s="437"/>
      <c r="G288" s="378"/>
      <c r="H288" s="694"/>
      <c r="I288" s="914"/>
      <c r="J288" s="914"/>
      <c r="K288" s="278"/>
      <c r="L288" s="301">
        <v>11</v>
      </c>
      <c r="M288" s="381" t="s">
        <v>1166</v>
      </c>
      <c r="N288" s="870">
        <v>46174</v>
      </c>
      <c r="O288" s="399"/>
      <c r="P288" s="437"/>
      <c r="Q288" s="769">
        <v>51000</v>
      </c>
      <c r="R288" s="936"/>
      <c r="S288" s="646"/>
      <c r="T288" s="551">
        <v>46203</v>
      </c>
      <c r="U288" s="535">
        <f t="shared" si="40"/>
        <v>45591.620304214091</v>
      </c>
      <c r="V288" s="926"/>
      <c r="W288" s="608">
        <f t="shared" si="41"/>
        <v>46203</v>
      </c>
      <c r="X288" s="911"/>
      <c r="Y288" s="507"/>
      <c r="Z288" s="914"/>
    </row>
    <row r="289" spans="2:26" ht="15" customHeight="1">
      <c r="B289" s="301"/>
      <c r="C289" s="379"/>
      <c r="D289" s="379"/>
      <c r="E289" s="399"/>
      <c r="F289" s="437"/>
      <c r="G289" s="378"/>
      <c r="H289" s="694"/>
      <c r="I289" s="914"/>
      <c r="J289" s="914"/>
      <c r="K289" s="278"/>
      <c r="L289" s="301">
        <v>11</v>
      </c>
      <c r="M289" s="381" t="s">
        <v>1166</v>
      </c>
      <c r="N289" s="870">
        <v>46204</v>
      </c>
      <c r="O289" s="399"/>
      <c r="P289" s="437"/>
      <c r="Q289" s="769">
        <v>51000</v>
      </c>
      <c r="R289" s="936"/>
      <c r="S289" s="646"/>
      <c r="T289" s="551">
        <v>46234</v>
      </c>
      <c r="U289" s="535">
        <f t="shared" si="40"/>
        <v>45591.620304214091</v>
      </c>
      <c r="V289" s="926"/>
      <c r="W289" s="608">
        <f t="shared" si="41"/>
        <v>46234</v>
      </c>
      <c r="X289" s="911"/>
      <c r="Y289" s="507"/>
      <c r="Z289" s="914"/>
    </row>
    <row r="290" spans="2:26" ht="15" customHeight="1">
      <c r="B290" s="301"/>
      <c r="C290" s="379"/>
      <c r="D290" s="379"/>
      <c r="E290" s="399"/>
      <c r="F290" s="437"/>
      <c r="G290" s="378"/>
      <c r="H290" s="694"/>
      <c r="I290" s="914"/>
      <c r="J290" s="914"/>
      <c r="K290" s="278"/>
      <c r="L290" s="301">
        <v>11</v>
      </c>
      <c r="M290" s="381" t="s">
        <v>1166</v>
      </c>
      <c r="N290" s="870">
        <v>46235</v>
      </c>
      <c r="O290" s="399"/>
      <c r="P290" s="437"/>
      <c r="Q290" s="769">
        <v>51000</v>
      </c>
      <c r="R290" s="936"/>
      <c r="S290" s="646"/>
      <c r="T290" s="551">
        <v>46265</v>
      </c>
      <c r="U290" s="535">
        <f t="shared" si="40"/>
        <v>45591.620304214091</v>
      </c>
      <c r="V290" s="926"/>
      <c r="W290" s="608">
        <f t="shared" si="41"/>
        <v>46265</v>
      </c>
      <c r="X290" s="911"/>
      <c r="Y290" s="507"/>
      <c r="Z290" s="914"/>
    </row>
    <row r="291" spans="2:26" ht="15" customHeight="1">
      <c r="B291" s="301"/>
      <c r="C291" s="379"/>
      <c r="D291" s="379"/>
      <c r="E291" s="399"/>
      <c r="F291" s="437"/>
      <c r="G291" s="378"/>
      <c r="H291" s="694"/>
      <c r="I291" s="914"/>
      <c r="J291" s="914"/>
      <c r="K291" s="278"/>
      <c r="L291" s="301">
        <v>11</v>
      </c>
      <c r="M291" s="381" t="s">
        <v>1166</v>
      </c>
      <c r="N291" s="870">
        <v>46266</v>
      </c>
      <c r="O291" s="399"/>
      <c r="P291" s="437"/>
      <c r="Q291" s="769">
        <v>51000</v>
      </c>
      <c r="R291" s="936"/>
      <c r="S291" s="646"/>
      <c r="T291" s="551">
        <v>46295</v>
      </c>
      <c r="U291" s="535">
        <f t="shared" si="40"/>
        <v>45591.620304214091</v>
      </c>
      <c r="V291" s="926"/>
      <c r="W291" s="608">
        <f t="shared" si="41"/>
        <v>46295</v>
      </c>
      <c r="X291" s="911"/>
      <c r="Y291" s="507"/>
      <c r="Z291" s="914"/>
    </row>
    <row r="292" spans="2:26" ht="15" customHeight="1" thickBot="1">
      <c r="B292" s="301"/>
      <c r="C292" s="379"/>
      <c r="D292" s="379"/>
      <c r="E292" s="399"/>
      <c r="F292" s="437"/>
      <c r="G292" s="378"/>
      <c r="H292" s="694"/>
      <c r="I292" s="914"/>
      <c r="J292" s="914"/>
      <c r="K292" s="278"/>
      <c r="L292" s="301">
        <v>11</v>
      </c>
      <c r="M292" s="381" t="s">
        <v>1166</v>
      </c>
      <c r="N292" s="870">
        <v>46296</v>
      </c>
      <c r="O292" s="399"/>
      <c r="P292" s="437"/>
      <c r="Q292" s="769">
        <v>51000</v>
      </c>
      <c r="R292" s="936"/>
      <c r="S292" s="646"/>
      <c r="T292" s="551">
        <v>46326</v>
      </c>
      <c r="U292" s="535">
        <f t="shared" si="40"/>
        <v>45591.620304214091</v>
      </c>
      <c r="V292" s="926"/>
      <c r="W292" s="608">
        <f t="shared" si="41"/>
        <v>46326</v>
      </c>
      <c r="X292" s="911"/>
      <c r="Y292" s="507"/>
      <c r="Z292" s="914"/>
    </row>
    <row r="293" spans="2:26" ht="15" customHeight="1">
      <c r="B293" s="301">
        <v>11</v>
      </c>
      <c r="C293" s="379"/>
      <c r="D293" s="379"/>
      <c r="E293" s="399"/>
      <c r="F293" s="437"/>
      <c r="G293" s="378"/>
      <c r="H293" s="694"/>
      <c r="I293" s="914"/>
      <c r="J293" s="914"/>
      <c r="K293" s="278"/>
      <c r="L293" s="301">
        <v>11</v>
      </c>
      <c r="M293" s="765" t="s">
        <v>1166</v>
      </c>
      <c r="N293" s="766" t="s">
        <v>1189</v>
      </c>
      <c r="O293" s="455"/>
      <c r="P293" s="461"/>
      <c r="Q293" s="767"/>
      <c r="R293" s="937" t="s">
        <v>1190</v>
      </c>
      <c r="S293" s="646"/>
      <c r="T293" s="551" t="str">
        <f t="shared" si="38"/>
        <v/>
      </c>
      <c r="U293" s="535">
        <f t="shared" si="40"/>
        <v>0</v>
      </c>
      <c r="V293" s="926"/>
      <c r="W293" s="608"/>
      <c r="X293" s="911"/>
      <c r="Y293" s="507"/>
      <c r="Z293" s="914"/>
    </row>
    <row r="294" spans="2:26" ht="15" customHeight="1">
      <c r="B294" s="301"/>
      <c r="C294" s="379"/>
      <c r="D294" s="379"/>
      <c r="E294" s="399"/>
      <c r="F294" s="437"/>
      <c r="G294" s="378"/>
      <c r="H294" s="694"/>
      <c r="I294" s="914"/>
      <c r="J294" s="914"/>
      <c r="K294" s="278"/>
      <c r="L294" s="301">
        <v>11</v>
      </c>
      <c r="M294" s="765" t="s">
        <v>1166</v>
      </c>
      <c r="N294" s="768" t="s">
        <v>1191</v>
      </c>
      <c r="O294" s="399"/>
      <c r="P294" s="437"/>
      <c r="Q294" s="769">
        <v>12000</v>
      </c>
      <c r="R294" s="926"/>
      <c r="S294" s="646"/>
      <c r="T294" s="551">
        <v>46081</v>
      </c>
      <c r="U294" s="535">
        <f t="shared" si="40"/>
        <v>10727.440071579787</v>
      </c>
      <c r="V294" s="926"/>
      <c r="W294" s="608">
        <f>T294+30</f>
        <v>46111</v>
      </c>
      <c r="X294" s="911"/>
      <c r="Y294" s="507"/>
      <c r="Z294" s="914"/>
    </row>
    <row r="295" spans="2:26" ht="15" customHeight="1">
      <c r="B295" s="301"/>
      <c r="C295" s="379"/>
      <c r="D295" s="379"/>
      <c r="E295" s="399"/>
      <c r="F295" s="437"/>
      <c r="G295" s="378"/>
      <c r="H295" s="694"/>
      <c r="I295" s="914"/>
      <c r="J295" s="914"/>
      <c r="K295" s="278"/>
      <c r="L295" s="301">
        <v>11</v>
      </c>
      <c r="M295" s="765" t="s">
        <v>1166</v>
      </c>
      <c r="N295" s="768" t="s">
        <v>1192</v>
      </c>
      <c r="O295" s="399"/>
      <c r="P295" s="437"/>
      <c r="Q295" s="769">
        <v>10000</v>
      </c>
      <c r="R295" s="926"/>
      <c r="S295" s="646"/>
      <c r="T295" s="551">
        <v>46081</v>
      </c>
      <c r="U295" s="535">
        <f t="shared" ref="U295" si="42">(Q295/$X$266*$J$266)</f>
        <v>8939.5333929831559</v>
      </c>
      <c r="V295" s="926"/>
      <c r="W295" s="608">
        <f>W294</f>
        <v>46111</v>
      </c>
      <c r="X295" s="911"/>
      <c r="Y295" s="507"/>
      <c r="Z295" s="914"/>
    </row>
    <row r="296" spans="2:26" ht="15" customHeight="1">
      <c r="B296" s="301"/>
      <c r="C296" s="379"/>
      <c r="D296" s="379"/>
      <c r="E296" s="399"/>
      <c r="F296" s="437"/>
      <c r="G296" s="378"/>
      <c r="H296" s="694"/>
      <c r="I296" s="914"/>
      <c r="J296" s="914"/>
      <c r="K296" s="278"/>
      <c r="L296" s="301">
        <v>11</v>
      </c>
      <c r="M296" s="765" t="s">
        <v>1166</v>
      </c>
      <c r="N296" s="870">
        <v>46113</v>
      </c>
      <c r="O296" s="399"/>
      <c r="P296" s="437"/>
      <c r="Q296" s="769">
        <v>9128.7999999999993</v>
      </c>
      <c r="R296" s="926"/>
      <c r="S296" s="646"/>
      <c r="T296" s="551">
        <v>46081</v>
      </c>
      <c r="U296" s="535">
        <f t="shared" ref="U296:U314" si="43">(Q296/$X$266*$J$266)</f>
        <v>8160.7212437864628</v>
      </c>
      <c r="V296" s="926"/>
      <c r="W296" s="608">
        <f t="shared" ref="W296:W302" si="44">T296+30</f>
        <v>46111</v>
      </c>
      <c r="X296" s="911"/>
      <c r="Y296" s="507"/>
      <c r="Z296" s="914"/>
    </row>
    <row r="297" spans="2:26" ht="15" customHeight="1">
      <c r="B297" s="301"/>
      <c r="C297" s="379"/>
      <c r="D297" s="379"/>
      <c r="E297" s="399"/>
      <c r="F297" s="437"/>
      <c r="G297" s="378"/>
      <c r="H297" s="694"/>
      <c r="I297" s="914"/>
      <c r="J297" s="914"/>
      <c r="K297" s="278"/>
      <c r="L297" s="301">
        <v>11</v>
      </c>
      <c r="M297" s="765" t="s">
        <v>1166</v>
      </c>
      <c r="N297" s="870">
        <v>46143</v>
      </c>
      <c r="O297" s="399"/>
      <c r="P297" s="437"/>
      <c r="Q297" s="769">
        <v>18257.599999999999</v>
      </c>
      <c r="R297" s="926"/>
      <c r="S297" s="646"/>
      <c r="T297" s="551">
        <v>46081</v>
      </c>
      <c r="U297" s="535">
        <f t="shared" si="43"/>
        <v>16321.442487572926</v>
      </c>
      <c r="V297" s="926"/>
      <c r="W297" s="608">
        <f t="shared" si="44"/>
        <v>46111</v>
      </c>
      <c r="X297" s="911"/>
      <c r="Y297" s="507"/>
      <c r="Z297" s="914"/>
    </row>
    <row r="298" spans="2:26" ht="15" customHeight="1">
      <c r="B298" s="301"/>
      <c r="C298" s="379"/>
      <c r="D298" s="379"/>
      <c r="E298" s="399"/>
      <c r="F298" s="437"/>
      <c r="G298" s="378"/>
      <c r="H298" s="694"/>
      <c r="I298" s="914"/>
      <c r="J298" s="914"/>
      <c r="K298" s="278"/>
      <c r="L298" s="301">
        <v>11</v>
      </c>
      <c r="M298" s="765" t="s">
        <v>1166</v>
      </c>
      <c r="N298" s="870">
        <v>46174</v>
      </c>
      <c r="O298" s="399"/>
      <c r="P298" s="437"/>
      <c r="Q298" s="769">
        <v>18257.599999999999</v>
      </c>
      <c r="R298" s="926"/>
      <c r="S298" s="646"/>
      <c r="T298" s="551">
        <v>46112</v>
      </c>
      <c r="U298" s="535">
        <f t="shared" si="43"/>
        <v>16321.442487572926</v>
      </c>
      <c r="V298" s="926"/>
      <c r="W298" s="608">
        <f t="shared" si="44"/>
        <v>46142</v>
      </c>
      <c r="X298" s="911"/>
      <c r="Y298" s="507"/>
      <c r="Z298" s="914"/>
    </row>
    <row r="299" spans="2:26" ht="15" customHeight="1">
      <c r="B299" s="301"/>
      <c r="C299" s="379"/>
      <c r="D299" s="379"/>
      <c r="E299" s="399"/>
      <c r="F299" s="437"/>
      <c r="G299" s="378"/>
      <c r="H299" s="694"/>
      <c r="I299" s="914"/>
      <c r="J299" s="914"/>
      <c r="K299" s="278"/>
      <c r="L299" s="301">
        <v>11</v>
      </c>
      <c r="M299" s="765" t="s">
        <v>1166</v>
      </c>
      <c r="N299" s="870">
        <v>46204</v>
      </c>
      <c r="O299" s="399"/>
      <c r="P299" s="437"/>
      <c r="Q299" s="769">
        <v>18257.599999999999</v>
      </c>
      <c r="R299" s="926"/>
      <c r="S299" s="646"/>
      <c r="T299" s="551">
        <v>46142</v>
      </c>
      <c r="U299" s="535">
        <f t="shared" si="43"/>
        <v>16321.442487572926</v>
      </c>
      <c r="V299" s="926"/>
      <c r="W299" s="608">
        <f t="shared" si="44"/>
        <v>46172</v>
      </c>
      <c r="X299" s="911"/>
      <c r="Y299" s="507"/>
      <c r="Z299" s="914"/>
    </row>
    <row r="300" spans="2:26" ht="15" customHeight="1">
      <c r="B300" s="301"/>
      <c r="C300" s="379"/>
      <c r="D300" s="379"/>
      <c r="E300" s="399"/>
      <c r="F300" s="437"/>
      <c r="G300" s="378"/>
      <c r="H300" s="694"/>
      <c r="I300" s="914"/>
      <c r="J300" s="914"/>
      <c r="K300" s="278"/>
      <c r="L300" s="301">
        <v>11</v>
      </c>
      <c r="M300" s="765" t="s">
        <v>1166</v>
      </c>
      <c r="N300" s="870">
        <v>46235</v>
      </c>
      <c r="O300" s="399"/>
      <c r="P300" s="437"/>
      <c r="Q300" s="769">
        <v>18257.599999999999</v>
      </c>
      <c r="R300" s="926"/>
      <c r="S300" s="646"/>
      <c r="T300" s="551">
        <v>46173</v>
      </c>
      <c r="U300" s="535">
        <f t="shared" si="43"/>
        <v>16321.442487572926</v>
      </c>
      <c r="V300" s="926"/>
      <c r="W300" s="608">
        <f t="shared" si="44"/>
        <v>46203</v>
      </c>
      <c r="X300" s="911"/>
      <c r="Y300" s="507"/>
      <c r="Z300" s="914"/>
    </row>
    <row r="301" spans="2:26" ht="15" customHeight="1">
      <c r="B301" s="301"/>
      <c r="C301" s="379"/>
      <c r="D301" s="379"/>
      <c r="E301" s="399"/>
      <c r="F301" s="437"/>
      <c r="G301" s="378"/>
      <c r="H301" s="694"/>
      <c r="I301" s="914"/>
      <c r="J301" s="914"/>
      <c r="K301" s="278"/>
      <c r="L301" s="301">
        <v>11</v>
      </c>
      <c r="M301" s="765" t="s">
        <v>1166</v>
      </c>
      <c r="N301" s="870">
        <v>46266</v>
      </c>
      <c r="O301" s="399"/>
      <c r="P301" s="437"/>
      <c r="Q301" s="769">
        <v>18257.599999999999</v>
      </c>
      <c r="R301" s="926"/>
      <c r="S301" s="646"/>
      <c r="T301" s="551">
        <v>46203</v>
      </c>
      <c r="U301" s="535">
        <f t="shared" si="43"/>
        <v>16321.442487572926</v>
      </c>
      <c r="V301" s="926"/>
      <c r="W301" s="608">
        <f t="shared" si="44"/>
        <v>46233</v>
      </c>
      <c r="X301" s="911"/>
      <c r="Y301" s="507"/>
      <c r="Z301" s="914"/>
    </row>
    <row r="302" spans="2:26" ht="15" customHeight="1" thickBot="1">
      <c r="B302" s="301"/>
      <c r="C302" s="379"/>
      <c r="D302" s="379"/>
      <c r="E302" s="399"/>
      <c r="F302" s="437"/>
      <c r="G302" s="378"/>
      <c r="H302" s="694"/>
      <c r="I302" s="914"/>
      <c r="J302" s="914"/>
      <c r="K302" s="278"/>
      <c r="L302" s="301">
        <v>11</v>
      </c>
      <c r="M302" s="765" t="s">
        <v>1166</v>
      </c>
      <c r="N302" s="871">
        <v>46296</v>
      </c>
      <c r="O302" s="308"/>
      <c r="P302" s="453"/>
      <c r="Q302" s="770">
        <v>18257.599999999999</v>
      </c>
      <c r="R302" s="938"/>
      <c r="S302" s="646"/>
      <c r="T302" s="551">
        <v>46234</v>
      </c>
      <c r="U302" s="535">
        <f t="shared" si="43"/>
        <v>16321.442487572926</v>
      </c>
      <c r="V302" s="926"/>
      <c r="W302" s="608">
        <f t="shared" si="44"/>
        <v>46264</v>
      </c>
      <c r="X302" s="911"/>
      <c r="Y302" s="507"/>
      <c r="Z302" s="914"/>
    </row>
    <row r="303" spans="2:26" ht="15" customHeight="1">
      <c r="B303" s="301"/>
      <c r="C303" s="379"/>
      <c r="D303" s="379"/>
      <c r="E303" s="399"/>
      <c r="F303" s="437"/>
      <c r="G303" s="378"/>
      <c r="H303" s="694"/>
      <c r="I303" s="914"/>
      <c r="J303" s="914"/>
      <c r="K303" s="278"/>
      <c r="L303" s="301">
        <v>11</v>
      </c>
      <c r="M303" s="381" t="s">
        <v>1166</v>
      </c>
      <c r="N303" s="379" t="s">
        <v>1193</v>
      </c>
      <c r="O303" s="399"/>
      <c r="P303" s="437"/>
      <c r="Q303" s="485">
        <v>31050</v>
      </c>
      <c r="R303" s="887" t="s">
        <v>1194</v>
      </c>
      <c r="S303" s="646"/>
      <c r="T303" s="551">
        <v>46081</v>
      </c>
      <c r="U303" s="535">
        <f t="shared" si="43"/>
        <v>27757.251185212695</v>
      </c>
      <c r="V303" s="926"/>
      <c r="W303" s="608">
        <f>T303+7</f>
        <v>46088</v>
      </c>
      <c r="X303" s="911"/>
      <c r="Y303" s="507"/>
      <c r="Z303" s="914"/>
    </row>
    <row r="304" spans="2:26" ht="15" customHeight="1">
      <c r="B304" s="301"/>
      <c r="C304" s="379"/>
      <c r="D304" s="379"/>
      <c r="E304" s="399"/>
      <c r="F304" s="437"/>
      <c r="G304" s="378"/>
      <c r="H304" s="694"/>
      <c r="I304" s="914"/>
      <c r="J304" s="914"/>
      <c r="K304" s="278"/>
      <c r="L304" s="301">
        <v>11</v>
      </c>
      <c r="M304" s="381" t="s">
        <v>1166</v>
      </c>
      <c r="N304" s="379" t="s">
        <v>1195</v>
      </c>
      <c r="O304" s="399"/>
      <c r="P304" s="437"/>
      <c r="Q304" s="485">
        <v>69750</v>
      </c>
      <c r="R304" s="935" t="s">
        <v>1196</v>
      </c>
      <c r="S304" s="646" t="s">
        <v>1375</v>
      </c>
      <c r="T304" s="551">
        <v>46081</v>
      </c>
      <c r="U304" s="535">
        <f t="shared" si="43"/>
        <v>62353.245416057514</v>
      </c>
      <c r="V304" s="926"/>
      <c r="W304" s="608">
        <v>46079</v>
      </c>
      <c r="X304" s="911"/>
      <c r="Y304" s="507"/>
      <c r="Z304" s="914"/>
    </row>
    <row r="305" spans="1:26" ht="15" customHeight="1">
      <c r="B305" s="301"/>
      <c r="C305" s="379"/>
      <c r="D305" s="379"/>
      <c r="E305" s="399"/>
      <c r="F305" s="437"/>
      <c r="G305" s="378"/>
      <c r="H305" s="694"/>
      <c r="I305" s="914"/>
      <c r="J305" s="914"/>
      <c r="K305" s="278"/>
      <c r="L305" s="301">
        <v>11</v>
      </c>
      <c r="M305" s="381" t="s">
        <v>1166</v>
      </c>
      <c r="N305" s="379" t="s">
        <v>1197</v>
      </c>
      <c r="O305" s="399"/>
      <c r="P305" s="437"/>
      <c r="Q305" s="485">
        <f>77350-Q304</f>
        <v>7600</v>
      </c>
      <c r="R305" s="939"/>
      <c r="S305" s="646"/>
      <c r="T305" s="551">
        <v>46265</v>
      </c>
      <c r="U305" s="535">
        <f t="shared" si="43"/>
        <v>6794.0453786671978</v>
      </c>
      <c r="V305" s="926"/>
      <c r="W305" s="608">
        <f>T305+30</f>
        <v>46295</v>
      </c>
      <c r="X305" s="911"/>
      <c r="Y305" s="507"/>
      <c r="Z305" s="914"/>
    </row>
    <row r="306" spans="1:26" ht="15" customHeight="1">
      <c r="B306" s="301"/>
      <c r="C306" s="379"/>
      <c r="D306" s="379"/>
      <c r="E306" s="399"/>
      <c r="F306" s="437"/>
      <c r="G306" s="378"/>
      <c r="H306" s="694"/>
      <c r="I306" s="914"/>
      <c r="J306" s="914"/>
      <c r="K306" s="278"/>
      <c r="L306" s="301">
        <v>11</v>
      </c>
      <c r="M306" s="381" t="s">
        <v>1166</v>
      </c>
      <c r="N306" s="379"/>
      <c r="O306" s="399"/>
      <c r="P306" s="437"/>
      <c r="Q306" s="485"/>
      <c r="R306" s="887"/>
      <c r="S306" s="646"/>
      <c r="T306" s="551"/>
      <c r="U306" s="535">
        <f t="shared" si="43"/>
        <v>0</v>
      </c>
      <c r="V306" s="926"/>
      <c r="W306" s="608"/>
      <c r="X306" s="911"/>
      <c r="Y306" s="507"/>
      <c r="Z306" s="914"/>
    </row>
    <row r="307" spans="1:26" ht="15" customHeight="1">
      <c r="B307" s="301"/>
      <c r="C307" s="379"/>
      <c r="D307" s="379"/>
      <c r="E307" s="399"/>
      <c r="F307" s="437"/>
      <c r="G307" s="378"/>
      <c r="H307" s="694"/>
      <c r="I307" s="914"/>
      <c r="J307" s="914"/>
      <c r="K307" s="278"/>
      <c r="L307" s="301">
        <v>11</v>
      </c>
      <c r="M307" s="381" t="s">
        <v>1166</v>
      </c>
      <c r="N307" s="379"/>
      <c r="O307" s="399"/>
      <c r="P307" s="437"/>
      <c r="Q307" s="485"/>
      <c r="R307" s="887"/>
      <c r="S307" s="646"/>
      <c r="T307" s="551"/>
      <c r="U307" s="535">
        <f t="shared" si="43"/>
        <v>0</v>
      </c>
      <c r="V307" s="926"/>
      <c r="W307" s="608"/>
      <c r="X307" s="911"/>
      <c r="Y307" s="507"/>
      <c r="Z307" s="914"/>
    </row>
    <row r="308" spans="1:26" ht="15" customHeight="1">
      <c r="B308" s="301"/>
      <c r="C308" s="379"/>
      <c r="D308" s="379"/>
      <c r="E308" s="399"/>
      <c r="F308" s="437"/>
      <c r="G308" s="378"/>
      <c r="H308" s="694"/>
      <c r="I308" s="914"/>
      <c r="J308" s="914"/>
      <c r="K308" s="278"/>
      <c r="L308" s="301">
        <v>11</v>
      </c>
      <c r="M308" s="381" t="s">
        <v>1166</v>
      </c>
      <c r="N308" s="379"/>
      <c r="O308" s="399"/>
      <c r="P308" s="437"/>
      <c r="Q308" s="485"/>
      <c r="R308" s="887"/>
      <c r="S308" s="646"/>
      <c r="T308" s="551"/>
      <c r="U308" s="535">
        <f t="shared" si="43"/>
        <v>0</v>
      </c>
      <c r="V308" s="926"/>
      <c r="W308" s="608"/>
      <c r="X308" s="911"/>
      <c r="Y308" s="507"/>
      <c r="Z308" s="914"/>
    </row>
    <row r="309" spans="1:26" ht="15" customHeight="1">
      <c r="B309" s="301"/>
      <c r="C309" s="379"/>
      <c r="D309" s="379"/>
      <c r="E309" s="399"/>
      <c r="F309" s="437"/>
      <c r="G309" s="378"/>
      <c r="H309" s="694"/>
      <c r="I309" s="914"/>
      <c r="J309" s="914"/>
      <c r="K309" s="278"/>
      <c r="L309" s="301">
        <v>11</v>
      </c>
      <c r="M309" s="381" t="s">
        <v>1166</v>
      </c>
      <c r="N309" s="379"/>
      <c r="O309" s="399"/>
      <c r="P309" s="437"/>
      <c r="Q309" s="485"/>
      <c r="R309" s="887"/>
      <c r="S309" s="646"/>
      <c r="T309" s="551"/>
      <c r="U309" s="535">
        <f t="shared" si="43"/>
        <v>0</v>
      </c>
      <c r="V309" s="926"/>
      <c r="W309" s="608"/>
      <c r="X309" s="911"/>
      <c r="Y309" s="507"/>
      <c r="Z309" s="914"/>
    </row>
    <row r="310" spans="1:26" ht="15" customHeight="1">
      <c r="B310" s="301">
        <v>11</v>
      </c>
      <c r="C310" s="379"/>
      <c r="D310" s="379"/>
      <c r="E310" s="399"/>
      <c r="F310" s="437"/>
      <c r="G310" s="378"/>
      <c r="H310" s="694"/>
      <c r="I310" s="914"/>
      <c r="J310" s="914"/>
      <c r="K310" s="278"/>
      <c r="L310" s="301">
        <v>11</v>
      </c>
      <c r="M310" s="381" t="s">
        <v>1166</v>
      </c>
      <c r="N310" s="379"/>
      <c r="O310" s="399"/>
      <c r="P310" s="437"/>
      <c r="Q310" s="485"/>
      <c r="R310" s="887"/>
      <c r="S310" s="646"/>
      <c r="T310" s="551" t="str">
        <f t="shared" si="38"/>
        <v/>
      </c>
      <c r="U310" s="535">
        <f t="shared" si="43"/>
        <v>0</v>
      </c>
      <c r="V310" s="926"/>
      <c r="W310" s="608"/>
      <c r="X310" s="911"/>
      <c r="Y310" s="507"/>
      <c r="Z310" s="914"/>
    </row>
    <row r="311" spans="1:26" ht="15" customHeight="1">
      <c r="B311" s="301">
        <v>11</v>
      </c>
      <c r="C311" s="379"/>
      <c r="D311" s="379"/>
      <c r="E311" s="399"/>
      <c r="F311" s="437"/>
      <c r="G311" s="378"/>
      <c r="H311" s="694"/>
      <c r="I311" s="914"/>
      <c r="J311" s="914"/>
      <c r="K311" s="278"/>
      <c r="L311" s="301">
        <v>11</v>
      </c>
      <c r="M311" s="381" t="s">
        <v>1166</v>
      </c>
      <c r="N311" s="379"/>
      <c r="O311" s="399"/>
      <c r="P311" s="437"/>
      <c r="Q311" s="485"/>
      <c r="R311" s="887"/>
      <c r="S311" s="646"/>
      <c r="T311" s="551" t="str">
        <f t="shared" si="38"/>
        <v/>
      </c>
      <c r="U311" s="535">
        <f t="shared" si="43"/>
        <v>0</v>
      </c>
      <c r="V311" s="926"/>
      <c r="W311" s="608"/>
      <c r="X311" s="911"/>
      <c r="Y311" s="507"/>
      <c r="Z311" s="914"/>
    </row>
    <row r="312" spans="1:26" ht="15" customHeight="1">
      <c r="B312" s="301">
        <v>11</v>
      </c>
      <c r="C312" s="379"/>
      <c r="D312" s="379"/>
      <c r="E312" s="399"/>
      <c r="F312" s="437"/>
      <c r="G312" s="378"/>
      <c r="H312" s="694"/>
      <c r="I312" s="914"/>
      <c r="J312" s="914"/>
      <c r="K312" s="278"/>
      <c r="L312" s="301">
        <v>11</v>
      </c>
      <c r="M312" s="381" t="s">
        <v>1166</v>
      </c>
      <c r="N312" s="379"/>
      <c r="O312" s="399"/>
      <c r="P312" s="437"/>
      <c r="Q312" s="485"/>
      <c r="R312" s="887"/>
      <c r="S312" s="646"/>
      <c r="T312" s="551" t="str">
        <f t="shared" si="38"/>
        <v/>
      </c>
      <c r="U312" s="535">
        <f t="shared" si="43"/>
        <v>0</v>
      </c>
      <c r="V312" s="926"/>
      <c r="W312" s="608"/>
      <c r="X312" s="911"/>
      <c r="Y312" s="507"/>
      <c r="Z312" s="914"/>
    </row>
    <row r="313" spans="1:26" ht="15" customHeight="1">
      <c r="B313" s="301">
        <v>11</v>
      </c>
      <c r="C313" s="379"/>
      <c r="D313" s="379"/>
      <c r="E313" s="399"/>
      <c r="F313" s="437"/>
      <c r="G313" s="378"/>
      <c r="H313" s="694"/>
      <c r="I313" s="914"/>
      <c r="J313" s="914"/>
      <c r="K313" s="278"/>
      <c r="L313" s="301">
        <v>11</v>
      </c>
      <c r="M313" s="381" t="s">
        <v>1166</v>
      </c>
      <c r="N313" s="379"/>
      <c r="O313" s="399"/>
      <c r="P313" s="437"/>
      <c r="Q313" s="485"/>
      <c r="R313" s="887"/>
      <c r="S313" s="646"/>
      <c r="T313" s="551" t="str">
        <f t="shared" si="38"/>
        <v/>
      </c>
      <c r="U313" s="535">
        <f t="shared" si="43"/>
        <v>0</v>
      </c>
      <c r="V313" s="926"/>
      <c r="W313" s="608"/>
      <c r="X313" s="911"/>
      <c r="Y313" s="507"/>
      <c r="Z313" s="914"/>
    </row>
    <row r="314" spans="1:26" ht="15" customHeight="1" thickBot="1">
      <c r="B314" s="306">
        <v>11</v>
      </c>
      <c r="C314" s="307"/>
      <c r="D314" s="307"/>
      <c r="E314" s="308"/>
      <c r="F314" s="453"/>
      <c r="G314" s="320"/>
      <c r="H314" s="695"/>
      <c r="I314" s="915"/>
      <c r="J314" s="915"/>
      <c r="K314" s="279"/>
      <c r="L314" s="306">
        <v>11</v>
      </c>
      <c r="M314" s="412" t="s">
        <v>1166</v>
      </c>
      <c r="N314" s="307"/>
      <c r="O314" s="308"/>
      <c r="P314" s="453"/>
      <c r="Q314" s="476"/>
      <c r="R314" s="895"/>
      <c r="S314" s="647"/>
      <c r="T314" s="552" t="str">
        <f t="shared" si="38"/>
        <v/>
      </c>
      <c r="U314" s="536">
        <f t="shared" si="43"/>
        <v>0</v>
      </c>
      <c r="V314" s="927"/>
      <c r="W314" s="609"/>
      <c r="X314" s="912"/>
      <c r="Y314" s="470"/>
      <c r="Z314" s="915"/>
    </row>
    <row r="315" spans="1:26" ht="15" customHeight="1" thickBot="1">
      <c r="A315" s="24"/>
      <c r="B315" s="280"/>
      <c r="C315" s="267"/>
      <c r="D315" s="267"/>
      <c r="E315" s="281"/>
      <c r="F315" s="449"/>
      <c r="G315" s="282"/>
      <c r="H315" s="700"/>
      <c r="I315" s="270"/>
      <c r="J315" s="270"/>
      <c r="K315" s="24"/>
      <c r="L315" s="280"/>
      <c r="M315" s="267"/>
      <c r="N315" s="267"/>
      <c r="O315" s="281"/>
      <c r="P315" s="449"/>
      <c r="Q315" s="479"/>
      <c r="R315" s="894"/>
      <c r="S315" s="652"/>
      <c r="T315" s="553" t="str">
        <f t="shared" si="38"/>
        <v/>
      </c>
      <c r="U315" s="541"/>
      <c r="V315" s="521"/>
      <c r="W315" s="610"/>
      <c r="X315" s="340"/>
      <c r="Y315" s="508"/>
      <c r="Z315" s="270"/>
    </row>
    <row r="316" spans="1:26">
      <c r="B316" s="259">
        <v>12</v>
      </c>
      <c r="C316" s="260" t="s">
        <v>1198</v>
      </c>
      <c r="D316" s="260"/>
      <c r="E316" s="261"/>
      <c r="F316" s="463"/>
      <c r="G316" s="328"/>
      <c r="H316" s="709"/>
      <c r="I316" s="919">
        <v>0</v>
      </c>
      <c r="J316" s="919">
        <v>0</v>
      </c>
      <c r="K316" s="933"/>
      <c r="L316" s="259">
        <v>12</v>
      </c>
      <c r="M316" s="260" t="s">
        <v>1199</v>
      </c>
      <c r="N316" s="260"/>
      <c r="O316" s="261"/>
      <c r="P316" s="463"/>
      <c r="Q316" s="486"/>
      <c r="R316" s="902"/>
      <c r="S316" s="658"/>
      <c r="T316" s="562" t="str">
        <f t="shared" si="38"/>
        <v/>
      </c>
      <c r="U316" s="546"/>
      <c r="V316" s="520"/>
      <c r="W316" s="618"/>
      <c r="X316" s="922">
        <f>SUM(Q316:Q317)</f>
        <v>0</v>
      </c>
      <c r="Y316" s="468"/>
      <c r="Z316" s="919">
        <f>SUM(X316:X317)</f>
        <v>0</v>
      </c>
    </row>
    <row r="317" spans="1:26" ht="15" customHeight="1" thickBot="1">
      <c r="B317" s="263">
        <v>12</v>
      </c>
      <c r="C317" s="334" t="s">
        <v>1198</v>
      </c>
      <c r="D317" s="334"/>
      <c r="E317" s="335"/>
      <c r="F317" s="465"/>
      <c r="G317" s="264"/>
      <c r="H317" s="712"/>
      <c r="I317" s="921"/>
      <c r="J317" s="921"/>
      <c r="K317" s="934"/>
      <c r="L317" s="263">
        <v>12</v>
      </c>
      <c r="M317" s="334" t="s">
        <v>1199</v>
      </c>
      <c r="N317" s="334"/>
      <c r="O317" s="335"/>
      <c r="P317" s="465"/>
      <c r="Q317" s="488"/>
      <c r="R317" s="905"/>
      <c r="S317" s="661"/>
      <c r="T317" s="565" t="str">
        <f t="shared" si="38"/>
        <v/>
      </c>
      <c r="U317" s="549"/>
      <c r="V317" s="519"/>
      <c r="W317" s="621"/>
      <c r="X317" s="924"/>
      <c r="Y317" s="469"/>
      <c r="Z317" s="921"/>
    </row>
    <row r="318" spans="1:26" ht="14.5" thickBot="1">
      <c r="A318" s="24"/>
      <c r="B318" s="280"/>
      <c r="C318" s="267"/>
      <c r="D318" s="267"/>
      <c r="E318" s="281"/>
      <c r="F318" s="449"/>
      <c r="G318" s="282"/>
      <c r="H318" s="700"/>
      <c r="I318" s="316"/>
      <c r="J318" s="316"/>
      <c r="K318" s="24"/>
      <c r="L318" s="280"/>
      <c r="M318" s="267"/>
      <c r="N318" s="267"/>
      <c r="O318" s="281"/>
      <c r="P318" s="449"/>
      <c r="Q318" s="479"/>
      <c r="R318" s="894"/>
      <c r="S318" s="652"/>
      <c r="T318" s="553" t="str">
        <f t="shared" si="38"/>
        <v/>
      </c>
      <c r="U318" s="541"/>
      <c r="V318" s="521"/>
      <c r="W318" s="610"/>
      <c r="X318" s="497"/>
      <c r="Y318" s="508"/>
      <c r="Z318" s="316"/>
    </row>
    <row r="319" spans="1:26" ht="15.75" customHeight="1">
      <c r="B319" s="271">
        <v>13</v>
      </c>
      <c r="C319" s="272" t="s">
        <v>1200</v>
      </c>
      <c r="D319" s="341" t="s">
        <v>1201</v>
      </c>
      <c r="E319" s="273">
        <v>1</v>
      </c>
      <c r="F319" s="430">
        <v>923726.21398921439</v>
      </c>
      <c r="G319" s="274">
        <f>E319*F319</f>
        <v>923726.21398921439</v>
      </c>
      <c r="H319" s="701">
        <v>45991</v>
      </c>
      <c r="I319" s="913">
        <f>SUM(G319:G332)</f>
        <v>4531726.213989215</v>
      </c>
      <c r="J319" s="913">
        <v>4720548.1395720998</v>
      </c>
      <c r="K319" s="275"/>
      <c r="L319" s="271">
        <v>13</v>
      </c>
      <c r="M319" s="341" t="s">
        <v>1202</v>
      </c>
      <c r="N319" s="341" t="s">
        <v>1201</v>
      </c>
      <c r="O319" s="273">
        <v>1</v>
      </c>
      <c r="P319" s="430">
        <v>923726.21398921439</v>
      </c>
      <c r="Q319" s="480">
        <f>O319*P319</f>
        <v>923726.21398921439</v>
      </c>
      <c r="R319" s="873"/>
      <c r="S319" s="653"/>
      <c r="T319" s="557">
        <f t="shared" si="38"/>
        <v>46203</v>
      </c>
      <c r="U319" s="542">
        <f t="shared" ref="U319:U333" si="45">(Q319/$X$319*$J$319)</f>
        <v>962214.80623876525</v>
      </c>
      <c r="V319" s="925">
        <f>J319-SUM(U319:U333)</f>
        <v>0</v>
      </c>
      <c r="W319" s="614">
        <v>46203</v>
      </c>
      <c r="X319" s="910">
        <f>SUM(Q319:Q333)</f>
        <v>4531726.213989215</v>
      </c>
      <c r="Y319" s="511"/>
      <c r="Z319" s="913">
        <f>I319-X319</f>
        <v>0</v>
      </c>
    </row>
    <row r="320" spans="1:26" ht="15.75" customHeight="1">
      <c r="B320" s="301">
        <v>13</v>
      </c>
      <c r="C320" s="303"/>
      <c r="D320" s="303" t="s">
        <v>1203</v>
      </c>
      <c r="E320" s="304">
        <v>200</v>
      </c>
      <c r="F320" s="452">
        <v>4000</v>
      </c>
      <c r="G320" s="305">
        <f>E320*F320</f>
        <v>800000</v>
      </c>
      <c r="H320" s="693">
        <v>45991</v>
      </c>
      <c r="I320" s="914"/>
      <c r="J320" s="914"/>
      <c r="K320" s="278"/>
      <c r="L320" s="301">
        <v>13</v>
      </c>
      <c r="M320" s="381" t="s">
        <v>1202</v>
      </c>
      <c r="N320" s="303" t="s">
        <v>1203</v>
      </c>
      <c r="O320" s="304"/>
      <c r="P320" s="452"/>
      <c r="Q320" s="475">
        <f>3608000-SUM(Q322:Q333)</f>
        <v>2668000</v>
      </c>
      <c r="R320" s="888"/>
      <c r="S320" s="645"/>
      <c r="T320" s="550">
        <v>46265</v>
      </c>
      <c r="U320" s="534">
        <f t="shared" si="45"/>
        <v>2779166.6666666674</v>
      </c>
      <c r="V320" s="926"/>
      <c r="W320" s="607">
        <v>46265</v>
      </c>
      <c r="X320" s="911"/>
      <c r="Y320" s="507"/>
      <c r="Z320" s="914"/>
    </row>
    <row r="321" spans="1:26" ht="15.75" customHeight="1">
      <c r="B321" s="301"/>
      <c r="C321" s="303"/>
      <c r="D321" s="303"/>
      <c r="E321" s="304"/>
      <c r="F321" s="452"/>
      <c r="G321" s="305"/>
      <c r="H321" s="693"/>
      <c r="I321" s="914"/>
      <c r="J321" s="914"/>
      <c r="K321" s="278"/>
      <c r="L321" s="301">
        <v>13</v>
      </c>
      <c r="M321" s="381" t="s">
        <v>1202</v>
      </c>
      <c r="N321" s="303"/>
      <c r="O321" s="304"/>
      <c r="P321" s="452"/>
      <c r="Q321" s="475"/>
      <c r="R321" s="888"/>
      <c r="S321" s="645"/>
      <c r="T321" s="550"/>
      <c r="U321" s="534">
        <f t="shared" si="45"/>
        <v>0</v>
      </c>
      <c r="V321" s="926"/>
      <c r="W321" s="607"/>
      <c r="X321" s="911"/>
      <c r="Y321" s="507"/>
      <c r="Z321" s="914"/>
    </row>
    <row r="322" spans="1:26" ht="15.75" customHeight="1">
      <c r="B322" s="301"/>
      <c r="C322" s="303"/>
      <c r="D322" s="303"/>
      <c r="E322" s="304"/>
      <c r="F322" s="452"/>
      <c r="G322" s="305"/>
      <c r="H322" s="693"/>
      <c r="I322" s="914"/>
      <c r="J322" s="914"/>
      <c r="K322" s="278"/>
      <c r="L322" s="301">
        <v>13</v>
      </c>
      <c r="M322" s="381" t="s">
        <v>1202</v>
      </c>
      <c r="N322" s="303" t="s">
        <v>1204</v>
      </c>
      <c r="O322" s="304"/>
      <c r="P322" s="452"/>
      <c r="Q322" s="475">
        <v>45000</v>
      </c>
      <c r="R322" s="888"/>
      <c r="S322" s="645"/>
      <c r="T322" s="550">
        <v>46142</v>
      </c>
      <c r="U322" s="534">
        <f t="shared" si="45"/>
        <v>46875.000000000007</v>
      </c>
      <c r="V322" s="926"/>
      <c r="W322" s="607">
        <f>T322+7</f>
        <v>46149</v>
      </c>
      <c r="X322" s="911"/>
      <c r="Y322" s="507"/>
      <c r="Z322" s="914"/>
    </row>
    <row r="323" spans="1:26" ht="15.75" customHeight="1">
      <c r="B323" s="301"/>
      <c r="C323" s="303"/>
      <c r="D323" s="303"/>
      <c r="E323" s="304"/>
      <c r="F323" s="452"/>
      <c r="G323" s="305"/>
      <c r="H323" s="693"/>
      <c r="I323" s="914"/>
      <c r="J323" s="914"/>
      <c r="K323" s="278"/>
      <c r="L323" s="301">
        <v>13</v>
      </c>
      <c r="M323" s="381" t="s">
        <v>1202</v>
      </c>
      <c r="N323" s="303" t="s">
        <v>1205</v>
      </c>
      <c r="O323" s="304"/>
      <c r="P323" s="452"/>
      <c r="Q323" s="475">
        <v>45000</v>
      </c>
      <c r="R323" s="888"/>
      <c r="S323" s="645"/>
      <c r="T323" s="550">
        <v>46173</v>
      </c>
      <c r="U323" s="534">
        <f t="shared" si="45"/>
        <v>46875.000000000007</v>
      </c>
      <c r="V323" s="926"/>
      <c r="W323" s="607">
        <f>T323+7</f>
        <v>46180</v>
      </c>
      <c r="X323" s="911"/>
      <c r="Y323" s="507"/>
      <c r="Z323" s="914"/>
    </row>
    <row r="324" spans="1:26" ht="15.75" customHeight="1">
      <c r="B324" s="301"/>
      <c r="C324" s="303"/>
      <c r="D324" s="303"/>
      <c r="E324" s="304"/>
      <c r="F324" s="452"/>
      <c r="G324" s="305"/>
      <c r="H324" s="693"/>
      <c r="I324" s="914"/>
      <c r="J324" s="914"/>
      <c r="K324" s="278"/>
      <c r="L324" s="301">
        <v>13</v>
      </c>
      <c r="M324" s="381" t="s">
        <v>1202</v>
      </c>
      <c r="N324" s="303" t="s">
        <v>1206</v>
      </c>
      <c r="O324" s="304"/>
      <c r="P324" s="452"/>
      <c r="Q324" s="475">
        <f>45000</f>
        <v>45000</v>
      </c>
      <c r="R324" s="888"/>
      <c r="S324" s="645"/>
      <c r="T324" s="550">
        <v>46203</v>
      </c>
      <c r="U324" s="534">
        <f t="shared" si="45"/>
        <v>46875.000000000007</v>
      </c>
      <c r="V324" s="926"/>
      <c r="W324" s="607">
        <f t="shared" ref="W324:W331" si="46">T324+7</f>
        <v>46210</v>
      </c>
      <c r="X324" s="911"/>
      <c r="Y324" s="507"/>
      <c r="Z324" s="914"/>
    </row>
    <row r="325" spans="1:26" ht="15.75" customHeight="1">
      <c r="B325" s="301"/>
      <c r="C325" s="303"/>
      <c r="D325" s="303"/>
      <c r="E325" s="304"/>
      <c r="F325" s="452"/>
      <c r="G325" s="305"/>
      <c r="H325" s="693"/>
      <c r="I325" s="914"/>
      <c r="J325" s="914"/>
      <c r="K325" s="278"/>
      <c r="L325" s="301">
        <v>13</v>
      </c>
      <c r="M325" s="381" t="s">
        <v>1202</v>
      </c>
      <c r="N325" s="303" t="s">
        <v>1207</v>
      </c>
      <c r="O325" s="304"/>
      <c r="P325" s="452"/>
      <c r="Q325" s="475">
        <f t="shared" ref="Q325:Q331" si="47">45000+70000</f>
        <v>115000</v>
      </c>
      <c r="R325" s="888"/>
      <c r="S325" s="645"/>
      <c r="T325" s="550">
        <v>46234</v>
      </c>
      <c r="U325" s="534">
        <f t="shared" si="45"/>
        <v>119791.66666666669</v>
      </c>
      <c r="V325" s="926"/>
      <c r="W325" s="607">
        <f t="shared" si="46"/>
        <v>46241</v>
      </c>
      <c r="X325" s="911"/>
      <c r="Y325" s="507"/>
      <c r="Z325" s="914"/>
    </row>
    <row r="326" spans="1:26" ht="15.75" customHeight="1">
      <c r="B326" s="301"/>
      <c r="C326" s="303"/>
      <c r="D326" s="303"/>
      <c r="E326" s="304"/>
      <c r="F326" s="452"/>
      <c r="G326" s="305"/>
      <c r="H326" s="693"/>
      <c r="I326" s="914"/>
      <c r="J326" s="914"/>
      <c r="K326" s="278"/>
      <c r="L326" s="301">
        <v>13</v>
      </c>
      <c r="M326" s="381" t="s">
        <v>1202</v>
      </c>
      <c r="N326" s="303" t="s">
        <v>1208</v>
      </c>
      <c r="O326" s="304"/>
      <c r="P326" s="452"/>
      <c r="Q326" s="475">
        <f t="shared" si="47"/>
        <v>115000</v>
      </c>
      <c r="R326" s="888"/>
      <c r="S326" s="645"/>
      <c r="T326" s="550">
        <v>46265</v>
      </c>
      <c r="U326" s="534">
        <f t="shared" si="45"/>
        <v>119791.66666666669</v>
      </c>
      <c r="V326" s="926"/>
      <c r="W326" s="607">
        <f t="shared" si="46"/>
        <v>46272</v>
      </c>
      <c r="X326" s="911"/>
      <c r="Y326" s="507"/>
      <c r="Z326" s="914"/>
    </row>
    <row r="327" spans="1:26" ht="15.75" customHeight="1">
      <c r="B327" s="301"/>
      <c r="C327" s="303"/>
      <c r="D327" s="303"/>
      <c r="E327" s="304"/>
      <c r="F327" s="452"/>
      <c r="G327" s="305"/>
      <c r="H327" s="693"/>
      <c r="I327" s="914"/>
      <c r="J327" s="914"/>
      <c r="K327" s="278"/>
      <c r="L327" s="301">
        <v>13</v>
      </c>
      <c r="M327" s="381" t="s">
        <v>1202</v>
      </c>
      <c r="N327" s="303" t="s">
        <v>1209</v>
      </c>
      <c r="O327" s="304"/>
      <c r="P327" s="452"/>
      <c r="Q327" s="475">
        <f t="shared" si="47"/>
        <v>115000</v>
      </c>
      <c r="R327" s="888"/>
      <c r="S327" s="645"/>
      <c r="T327" s="550">
        <v>46265</v>
      </c>
      <c r="U327" s="534">
        <f t="shared" si="45"/>
        <v>119791.66666666669</v>
      </c>
      <c r="V327" s="926"/>
      <c r="W327" s="607">
        <f t="shared" si="46"/>
        <v>46272</v>
      </c>
      <c r="X327" s="911"/>
      <c r="Y327" s="507"/>
      <c r="Z327" s="914"/>
    </row>
    <row r="328" spans="1:26" ht="15.75" customHeight="1">
      <c r="B328" s="301"/>
      <c r="C328" s="303"/>
      <c r="D328" s="303"/>
      <c r="E328" s="304"/>
      <c r="F328" s="452"/>
      <c r="G328" s="305"/>
      <c r="H328" s="693"/>
      <c r="I328" s="914"/>
      <c r="J328" s="914"/>
      <c r="K328" s="278"/>
      <c r="L328" s="301">
        <v>13</v>
      </c>
      <c r="M328" s="381" t="s">
        <v>1202</v>
      </c>
      <c r="N328" s="303" t="s">
        <v>1210</v>
      </c>
      <c r="O328" s="304"/>
      <c r="P328" s="452"/>
      <c r="Q328" s="475">
        <f t="shared" si="47"/>
        <v>115000</v>
      </c>
      <c r="R328" s="888"/>
      <c r="S328" s="645"/>
      <c r="T328" s="550">
        <v>46265</v>
      </c>
      <c r="U328" s="534">
        <f t="shared" si="45"/>
        <v>119791.66666666669</v>
      </c>
      <c r="V328" s="926"/>
      <c r="W328" s="607">
        <f t="shared" si="46"/>
        <v>46272</v>
      </c>
      <c r="X328" s="911"/>
      <c r="Y328" s="507"/>
      <c r="Z328" s="914"/>
    </row>
    <row r="329" spans="1:26" ht="15.75" customHeight="1">
      <c r="B329" s="301"/>
      <c r="C329" s="303"/>
      <c r="D329" s="303"/>
      <c r="E329" s="304"/>
      <c r="F329" s="452"/>
      <c r="G329" s="305"/>
      <c r="H329" s="693"/>
      <c r="I329" s="914"/>
      <c r="J329" s="914"/>
      <c r="K329" s="278"/>
      <c r="L329" s="301">
        <v>13</v>
      </c>
      <c r="M329" s="381" t="s">
        <v>1202</v>
      </c>
      <c r="N329" s="303" t="s">
        <v>1211</v>
      </c>
      <c r="O329" s="304"/>
      <c r="P329" s="452"/>
      <c r="Q329" s="475">
        <f t="shared" si="47"/>
        <v>115000</v>
      </c>
      <c r="R329" s="888"/>
      <c r="S329" s="645"/>
      <c r="T329" s="550">
        <v>46265</v>
      </c>
      <c r="U329" s="534">
        <f t="shared" si="45"/>
        <v>119791.66666666669</v>
      </c>
      <c r="V329" s="926"/>
      <c r="W329" s="607">
        <f t="shared" si="46"/>
        <v>46272</v>
      </c>
      <c r="X329" s="911"/>
      <c r="Y329" s="507"/>
      <c r="Z329" s="914"/>
    </row>
    <row r="330" spans="1:26" ht="15.75" customHeight="1">
      <c r="B330" s="301"/>
      <c r="C330" s="303"/>
      <c r="D330" s="303" t="s">
        <v>1212</v>
      </c>
      <c r="E330" s="304">
        <v>200</v>
      </c>
      <c r="F330" s="452">
        <v>6800</v>
      </c>
      <c r="G330" s="305">
        <f>E330*F330</f>
        <v>1360000</v>
      </c>
      <c r="H330" s="693">
        <f>H331</f>
        <v>45991</v>
      </c>
      <c r="I330" s="914"/>
      <c r="J330" s="914"/>
      <c r="K330" s="278"/>
      <c r="L330" s="301">
        <v>13</v>
      </c>
      <c r="M330" s="381" t="s">
        <v>1202</v>
      </c>
      <c r="N330" s="303" t="s">
        <v>1213</v>
      </c>
      <c r="O330" s="304"/>
      <c r="P330" s="452"/>
      <c r="Q330" s="475">
        <f t="shared" si="47"/>
        <v>115000</v>
      </c>
      <c r="R330" s="888"/>
      <c r="S330" s="645"/>
      <c r="T330" s="550">
        <v>46265</v>
      </c>
      <c r="U330" s="534">
        <f t="shared" si="45"/>
        <v>119791.66666666669</v>
      </c>
      <c r="V330" s="926"/>
      <c r="W330" s="607">
        <f t="shared" si="46"/>
        <v>46272</v>
      </c>
      <c r="X330" s="911"/>
      <c r="Y330" s="507"/>
      <c r="Z330" s="914"/>
    </row>
    <row r="331" spans="1:26" ht="15.75" customHeight="1">
      <c r="B331" s="301">
        <v>13</v>
      </c>
      <c r="C331" s="303"/>
      <c r="D331" s="303" t="s">
        <v>1214</v>
      </c>
      <c r="E331" s="304">
        <v>200</v>
      </c>
      <c r="F331" s="452">
        <v>5200</v>
      </c>
      <c r="G331" s="305">
        <f t="shared" ref="G331:G332" si="48">E331*F331</f>
        <v>1040000</v>
      </c>
      <c r="H331" s="693">
        <v>45991</v>
      </c>
      <c r="I331" s="914"/>
      <c r="J331" s="914"/>
      <c r="K331" s="278"/>
      <c r="L331" s="301">
        <v>13</v>
      </c>
      <c r="M331" s="381" t="s">
        <v>1202</v>
      </c>
      <c r="N331" s="303" t="s">
        <v>1215</v>
      </c>
      <c r="O331" s="304"/>
      <c r="P331" s="452"/>
      <c r="Q331" s="475">
        <f t="shared" si="47"/>
        <v>115000</v>
      </c>
      <c r="R331" s="888"/>
      <c r="S331" s="645"/>
      <c r="T331" s="550">
        <v>46295</v>
      </c>
      <c r="U331" s="534">
        <f t="shared" si="45"/>
        <v>119791.66666666669</v>
      </c>
      <c r="V331" s="926"/>
      <c r="W331" s="607">
        <f t="shared" si="46"/>
        <v>46302</v>
      </c>
      <c r="X331" s="911"/>
      <c r="Y331" s="507"/>
      <c r="Z331" s="914"/>
    </row>
    <row r="332" spans="1:26" ht="15.75" customHeight="1">
      <c r="B332" s="301">
        <v>13</v>
      </c>
      <c r="C332" s="303"/>
      <c r="D332" s="303" t="s">
        <v>1216</v>
      </c>
      <c r="E332" s="304">
        <v>60</v>
      </c>
      <c r="F332" s="452">
        <v>6800</v>
      </c>
      <c r="G332" s="305">
        <f t="shared" si="48"/>
        <v>408000</v>
      </c>
      <c r="H332" s="693">
        <v>45991</v>
      </c>
      <c r="I332" s="914"/>
      <c r="J332" s="914"/>
      <c r="K332" s="278"/>
      <c r="L332" s="301">
        <v>13</v>
      </c>
      <c r="M332" s="381" t="s">
        <v>1202</v>
      </c>
      <c r="N332" s="303"/>
      <c r="O332" s="304"/>
      <c r="P332" s="452"/>
      <c r="Q332" s="475"/>
      <c r="R332" s="888"/>
      <c r="S332" s="645"/>
      <c r="T332" s="550"/>
      <c r="U332" s="534">
        <f t="shared" si="45"/>
        <v>0</v>
      </c>
      <c r="V332" s="926"/>
      <c r="W332" s="607"/>
      <c r="X332" s="911"/>
      <c r="Y332" s="507"/>
      <c r="Z332" s="914"/>
    </row>
    <row r="333" spans="1:26" ht="15.75" customHeight="1" thickBot="1">
      <c r="B333" s="306">
        <v>13</v>
      </c>
      <c r="C333" s="307"/>
      <c r="D333" s="307"/>
      <c r="E333" s="308"/>
      <c r="F333" s="453"/>
      <c r="G333" s="320"/>
      <c r="H333" s="695"/>
      <c r="I333" s="915"/>
      <c r="J333" s="915"/>
      <c r="K333" s="354"/>
      <c r="L333" s="306">
        <v>13</v>
      </c>
      <c r="M333" s="412" t="s">
        <v>1202</v>
      </c>
      <c r="N333" s="307"/>
      <c r="O333" s="308"/>
      <c r="P333" s="453"/>
      <c r="Q333" s="476"/>
      <c r="R333" s="895"/>
      <c r="S333" s="647"/>
      <c r="T333" s="552" t="str">
        <f t="shared" si="38"/>
        <v/>
      </c>
      <c r="U333" s="536">
        <f t="shared" si="45"/>
        <v>0</v>
      </c>
      <c r="V333" s="927"/>
      <c r="W333" s="609"/>
      <c r="X333" s="912"/>
      <c r="Y333" s="470"/>
      <c r="Z333" s="915"/>
    </row>
    <row r="334" spans="1:26" ht="14.5" thickBot="1">
      <c r="A334" s="24"/>
      <c r="B334" s="280"/>
      <c r="C334" s="267"/>
      <c r="D334" s="267"/>
      <c r="E334" s="281"/>
      <c r="F334" s="449"/>
      <c r="G334" s="282"/>
      <c r="H334" s="700"/>
      <c r="I334" s="270"/>
      <c r="J334" s="270"/>
      <c r="K334" s="24"/>
      <c r="L334" s="280"/>
      <c r="M334" s="267"/>
      <c r="N334" s="267"/>
      <c r="O334" s="281"/>
      <c r="P334" s="449"/>
      <c r="Q334" s="479"/>
      <c r="R334" s="894"/>
      <c r="S334" s="652"/>
      <c r="T334" s="553" t="str">
        <f t="shared" si="38"/>
        <v/>
      </c>
      <c r="U334" s="541"/>
      <c r="V334" s="521"/>
      <c r="W334" s="610"/>
      <c r="X334" s="497"/>
      <c r="Y334" s="508"/>
      <c r="Z334" s="316"/>
    </row>
    <row r="335" spans="1:26" ht="14.25" customHeight="1">
      <c r="B335" s="259">
        <v>14</v>
      </c>
      <c r="C335" s="260" t="s">
        <v>1217</v>
      </c>
      <c r="D335" s="260" t="s">
        <v>1218</v>
      </c>
      <c r="E335" s="261"/>
      <c r="F335" s="463"/>
      <c r="G335" s="328">
        <v>236075</v>
      </c>
      <c r="H335" s="709">
        <v>45907</v>
      </c>
      <c r="I335" s="919">
        <f>SUM(G335:G370)</f>
        <v>236075</v>
      </c>
      <c r="J335" s="919">
        <v>245911.45833333299</v>
      </c>
      <c r="K335" s="329"/>
      <c r="L335" s="259">
        <v>14</v>
      </c>
      <c r="M335" s="427" t="s">
        <v>1219</v>
      </c>
      <c r="N335" s="260" t="s">
        <v>1220</v>
      </c>
      <c r="O335" s="261"/>
      <c r="P335" s="463"/>
      <c r="Q335" s="486">
        <v>25000</v>
      </c>
      <c r="R335" s="902"/>
      <c r="S335" s="658"/>
      <c r="T335" s="564">
        <v>46081</v>
      </c>
      <c r="U335" s="546">
        <f t="shared" ref="U335:U370" si="49">(Q335/$X$335*$J$335)</f>
        <v>13428.978720693151</v>
      </c>
      <c r="V335" s="928"/>
      <c r="W335" s="618">
        <f>T335+7</f>
        <v>46088</v>
      </c>
      <c r="X335" s="922">
        <f>SUM(Q335:Q370)</f>
        <v>457800</v>
      </c>
      <c r="Y335" s="513"/>
      <c r="Z335" s="919">
        <f>I335-X335</f>
        <v>-221725</v>
      </c>
    </row>
    <row r="336" spans="1:26" ht="14.25" customHeight="1">
      <c r="B336" s="622"/>
      <c r="C336" s="623"/>
      <c r="D336" s="623"/>
      <c r="E336" s="624"/>
      <c r="F336" s="625"/>
      <c r="G336" s="626"/>
      <c r="H336" s="711"/>
      <c r="I336" s="920"/>
      <c r="J336" s="920"/>
      <c r="K336" s="262"/>
      <c r="L336" s="330">
        <v>14</v>
      </c>
      <c r="M336" s="428" t="s">
        <v>1219</v>
      </c>
      <c r="N336" s="331" t="s">
        <v>1221</v>
      </c>
      <c r="O336" s="332"/>
      <c r="P336" s="464"/>
      <c r="Q336" s="487">
        <v>25000</v>
      </c>
      <c r="R336" s="904"/>
      <c r="S336" s="660"/>
      <c r="T336" s="564">
        <v>46112</v>
      </c>
      <c r="U336" s="548">
        <f t="shared" si="49"/>
        <v>13428.978720693151</v>
      </c>
      <c r="V336" s="929"/>
      <c r="W336" s="627">
        <f>T336+7</f>
        <v>46119</v>
      </c>
      <c r="X336" s="923"/>
      <c r="Y336" s="514"/>
      <c r="Z336" s="920"/>
    </row>
    <row r="337" spans="2:26" ht="14.25" customHeight="1">
      <c r="B337" s="622"/>
      <c r="C337" s="623"/>
      <c r="D337" s="623"/>
      <c r="E337" s="624"/>
      <c r="F337" s="625"/>
      <c r="G337" s="626"/>
      <c r="H337" s="711"/>
      <c r="I337" s="920"/>
      <c r="J337" s="920"/>
      <c r="K337" s="262"/>
      <c r="L337" s="330">
        <v>14</v>
      </c>
      <c r="M337" s="428" t="s">
        <v>1219</v>
      </c>
      <c r="N337" s="331" t="s">
        <v>1222</v>
      </c>
      <c r="O337" s="332"/>
      <c r="P337" s="464"/>
      <c r="Q337" s="487">
        <v>25000</v>
      </c>
      <c r="R337" s="904"/>
      <c r="S337" s="660"/>
      <c r="T337" s="564">
        <v>46142</v>
      </c>
      <c r="U337" s="548">
        <f t="shared" si="49"/>
        <v>13428.978720693151</v>
      </c>
      <c r="V337" s="929"/>
      <c r="W337" s="620">
        <f t="shared" ref="W337:W341" si="50">T337+7</f>
        <v>46149</v>
      </c>
      <c r="X337" s="923"/>
      <c r="Y337" s="514"/>
      <c r="Z337" s="920"/>
    </row>
    <row r="338" spans="2:26" ht="14.25" customHeight="1">
      <c r="B338" s="622"/>
      <c r="C338" s="623"/>
      <c r="D338" s="623"/>
      <c r="E338" s="624"/>
      <c r="F338" s="625"/>
      <c r="G338" s="626"/>
      <c r="H338" s="711"/>
      <c r="I338" s="920"/>
      <c r="J338" s="920"/>
      <c r="K338" s="262"/>
      <c r="L338" s="330">
        <v>14</v>
      </c>
      <c r="M338" s="428" t="s">
        <v>1219</v>
      </c>
      <c r="N338" s="331" t="s">
        <v>1223</v>
      </c>
      <c r="O338" s="332"/>
      <c r="P338" s="464"/>
      <c r="Q338" s="487">
        <v>25000</v>
      </c>
      <c r="R338" s="904"/>
      <c r="S338" s="660"/>
      <c r="T338" s="564">
        <v>46173</v>
      </c>
      <c r="U338" s="548">
        <f t="shared" si="49"/>
        <v>13428.978720693151</v>
      </c>
      <c r="V338" s="929"/>
      <c r="W338" s="620">
        <f t="shared" si="50"/>
        <v>46180</v>
      </c>
      <c r="X338" s="923"/>
      <c r="Y338" s="514"/>
      <c r="Z338" s="920"/>
    </row>
    <row r="339" spans="2:26" ht="14.25" customHeight="1">
      <c r="B339" s="622"/>
      <c r="C339" s="623"/>
      <c r="D339" s="623"/>
      <c r="E339" s="624"/>
      <c r="F339" s="625"/>
      <c r="G339" s="626"/>
      <c r="H339" s="711"/>
      <c r="I339" s="920"/>
      <c r="J339" s="920"/>
      <c r="K339" s="262"/>
      <c r="L339" s="330">
        <v>14</v>
      </c>
      <c r="M339" s="428" t="s">
        <v>1219</v>
      </c>
      <c r="N339" s="331" t="s">
        <v>1224</v>
      </c>
      <c r="O339" s="332"/>
      <c r="P339" s="464"/>
      <c r="Q339" s="487">
        <v>25000</v>
      </c>
      <c r="R339" s="904"/>
      <c r="S339" s="660"/>
      <c r="T339" s="564">
        <v>46203</v>
      </c>
      <c r="U339" s="548">
        <f t="shared" si="49"/>
        <v>13428.978720693151</v>
      </c>
      <c r="V339" s="929"/>
      <c r="W339" s="620">
        <f t="shared" si="50"/>
        <v>46210</v>
      </c>
      <c r="X339" s="923"/>
      <c r="Y339" s="514"/>
      <c r="Z339" s="920"/>
    </row>
    <row r="340" spans="2:26" ht="14.25" customHeight="1">
      <c r="B340" s="622"/>
      <c r="C340" s="623"/>
      <c r="D340" s="623"/>
      <c r="E340" s="624"/>
      <c r="F340" s="625"/>
      <c r="G340" s="626"/>
      <c r="H340" s="711"/>
      <c r="I340" s="920"/>
      <c r="J340" s="920"/>
      <c r="K340" s="262"/>
      <c r="L340" s="330">
        <v>14</v>
      </c>
      <c r="M340" s="428" t="s">
        <v>1219</v>
      </c>
      <c r="N340" s="331" t="s">
        <v>1225</v>
      </c>
      <c r="O340" s="332"/>
      <c r="P340" s="464"/>
      <c r="Q340" s="487">
        <v>25000</v>
      </c>
      <c r="R340" s="904"/>
      <c r="S340" s="660"/>
      <c r="T340" s="564">
        <v>46234</v>
      </c>
      <c r="U340" s="548">
        <f t="shared" si="49"/>
        <v>13428.978720693151</v>
      </c>
      <c r="V340" s="929"/>
      <c r="W340" s="620">
        <f t="shared" si="50"/>
        <v>46241</v>
      </c>
      <c r="X340" s="923"/>
      <c r="Y340" s="514"/>
      <c r="Z340" s="920"/>
    </row>
    <row r="341" spans="2:26" ht="14.15" customHeight="1">
      <c r="B341" s="622"/>
      <c r="C341" s="623"/>
      <c r="D341" s="623"/>
      <c r="E341" s="624"/>
      <c r="F341" s="625"/>
      <c r="G341" s="626"/>
      <c r="H341" s="711"/>
      <c r="I341" s="920"/>
      <c r="J341" s="920"/>
      <c r="K341" s="262"/>
      <c r="L341" s="330">
        <v>14</v>
      </c>
      <c r="M341" s="428" t="s">
        <v>1219</v>
      </c>
      <c r="N341" s="331" t="s">
        <v>1226</v>
      </c>
      <c r="O341" s="332"/>
      <c r="P341" s="464"/>
      <c r="Q341" s="487">
        <v>25000</v>
      </c>
      <c r="R341" s="904"/>
      <c r="S341" s="660"/>
      <c r="T341" s="564">
        <v>46265</v>
      </c>
      <c r="U341" s="548">
        <f t="shared" si="49"/>
        <v>13428.978720693151</v>
      </c>
      <c r="V341" s="929"/>
      <c r="W341" s="620">
        <f t="shared" si="50"/>
        <v>46272</v>
      </c>
      <c r="X341" s="923"/>
      <c r="Y341" s="514"/>
      <c r="Z341" s="920"/>
    </row>
    <row r="342" spans="2:26" ht="14.25" customHeight="1">
      <c r="B342" s="622"/>
      <c r="C342" s="623"/>
      <c r="D342" s="623"/>
      <c r="E342" s="624"/>
      <c r="F342" s="625"/>
      <c r="G342" s="626"/>
      <c r="H342" s="711"/>
      <c r="I342" s="920"/>
      <c r="J342" s="920"/>
      <c r="K342" s="262"/>
      <c r="L342" s="330">
        <v>14</v>
      </c>
      <c r="M342" s="428" t="s">
        <v>1219</v>
      </c>
      <c r="N342" s="331"/>
      <c r="O342" s="332"/>
      <c r="P342" s="464"/>
      <c r="Q342" s="487"/>
      <c r="R342" s="904"/>
      <c r="S342" s="660"/>
      <c r="T342" s="564"/>
      <c r="U342" s="548">
        <f t="shared" si="49"/>
        <v>0</v>
      </c>
      <c r="V342" s="929"/>
      <c r="W342" s="620"/>
      <c r="X342" s="923"/>
      <c r="Y342" s="514"/>
      <c r="Z342" s="920"/>
    </row>
    <row r="343" spans="2:26" ht="14.25" customHeight="1">
      <c r="B343" s="622"/>
      <c r="C343" s="623"/>
      <c r="D343" s="623"/>
      <c r="E343" s="624"/>
      <c r="F343" s="625"/>
      <c r="G343" s="626"/>
      <c r="H343" s="711"/>
      <c r="I343" s="920"/>
      <c r="J343" s="920"/>
      <c r="K343" s="262"/>
      <c r="L343" s="330">
        <v>14</v>
      </c>
      <c r="M343" s="428" t="s">
        <v>1219</v>
      </c>
      <c r="N343" s="331" t="s">
        <v>1227</v>
      </c>
      <c r="O343" s="332"/>
      <c r="P343" s="464"/>
      <c r="Q343" s="487">
        <v>26000</v>
      </c>
      <c r="R343" s="904"/>
      <c r="S343" s="660"/>
      <c r="T343" s="564">
        <v>46142</v>
      </c>
      <c r="U343" s="548">
        <f t="shared" si="49"/>
        <v>13966.137869520877</v>
      </c>
      <c r="V343" s="929"/>
      <c r="W343" s="620">
        <f>T343+7</f>
        <v>46149</v>
      </c>
      <c r="X343" s="923"/>
      <c r="Y343" s="514"/>
      <c r="Z343" s="920"/>
    </row>
    <row r="344" spans="2:26" ht="14.25" customHeight="1">
      <c r="B344" s="622"/>
      <c r="C344" s="623"/>
      <c r="D344" s="623"/>
      <c r="E344" s="624"/>
      <c r="F344" s="625"/>
      <c r="G344" s="626"/>
      <c r="H344" s="711"/>
      <c r="I344" s="920"/>
      <c r="J344" s="920"/>
      <c r="K344" s="262"/>
      <c r="L344" s="330">
        <v>14</v>
      </c>
      <c r="M344" s="428" t="s">
        <v>1219</v>
      </c>
      <c r="N344" s="331" t="s">
        <v>1228</v>
      </c>
      <c r="O344" s="332"/>
      <c r="P344" s="464"/>
      <c r="Q344" s="487">
        <f>26000+2000</f>
        <v>28000</v>
      </c>
      <c r="R344" s="904"/>
      <c r="S344" s="660"/>
      <c r="T344" s="564">
        <v>46081</v>
      </c>
      <c r="U344" s="548">
        <f t="shared" si="49"/>
        <v>15040.456167176329</v>
      </c>
      <c r="V344" s="929"/>
      <c r="W344" s="620">
        <f>T344+7</f>
        <v>46088</v>
      </c>
      <c r="X344" s="923"/>
      <c r="Y344" s="514"/>
      <c r="Z344" s="920"/>
    </row>
    <row r="345" spans="2:26" ht="14.25" customHeight="1">
      <c r="B345" s="622"/>
      <c r="C345" s="623"/>
      <c r="D345" s="623"/>
      <c r="E345" s="624"/>
      <c r="F345" s="625"/>
      <c r="G345" s="626"/>
      <c r="H345" s="711"/>
      <c r="I345" s="920"/>
      <c r="J345" s="920"/>
      <c r="K345" s="262"/>
      <c r="L345" s="330">
        <v>14</v>
      </c>
      <c r="M345" s="428" t="s">
        <v>1219</v>
      </c>
      <c r="N345" s="331" t="s">
        <v>1229</v>
      </c>
      <c r="O345" s="332"/>
      <c r="P345" s="464"/>
      <c r="Q345" s="487">
        <f t="shared" ref="Q345:Q350" si="51">26000+2000</f>
        <v>28000</v>
      </c>
      <c r="R345" s="904"/>
      <c r="S345" s="660"/>
      <c r="T345" s="564">
        <v>46112</v>
      </c>
      <c r="U345" s="548">
        <f t="shared" si="49"/>
        <v>15040.456167176329</v>
      </c>
      <c r="V345" s="929"/>
      <c r="W345" s="620">
        <f t="shared" ref="W345:W368" si="52">T345+7</f>
        <v>46119</v>
      </c>
      <c r="X345" s="923"/>
      <c r="Y345" s="514"/>
      <c r="Z345" s="920"/>
    </row>
    <row r="346" spans="2:26" ht="14.25" customHeight="1">
      <c r="B346" s="622"/>
      <c r="C346" s="623"/>
      <c r="D346" s="623"/>
      <c r="E346" s="624"/>
      <c r="F346" s="625"/>
      <c r="G346" s="626"/>
      <c r="H346" s="711"/>
      <c r="I346" s="920"/>
      <c r="J346" s="920"/>
      <c r="K346" s="262"/>
      <c r="L346" s="330">
        <v>14</v>
      </c>
      <c r="M346" s="428" t="s">
        <v>1219</v>
      </c>
      <c r="N346" s="331" t="s">
        <v>1230</v>
      </c>
      <c r="O346" s="332"/>
      <c r="P346" s="464"/>
      <c r="Q346" s="487">
        <f t="shared" si="51"/>
        <v>28000</v>
      </c>
      <c r="R346" s="904"/>
      <c r="S346" s="660"/>
      <c r="T346" s="564">
        <v>46142</v>
      </c>
      <c r="U346" s="548">
        <f t="shared" si="49"/>
        <v>15040.456167176329</v>
      </c>
      <c r="V346" s="929"/>
      <c r="W346" s="620">
        <f t="shared" si="52"/>
        <v>46149</v>
      </c>
      <c r="X346" s="923"/>
      <c r="Y346" s="514"/>
      <c r="Z346" s="920"/>
    </row>
    <row r="347" spans="2:26" ht="14.25" customHeight="1">
      <c r="B347" s="622"/>
      <c r="C347" s="623"/>
      <c r="D347" s="623"/>
      <c r="E347" s="624"/>
      <c r="F347" s="625"/>
      <c r="G347" s="626"/>
      <c r="H347" s="711"/>
      <c r="I347" s="920"/>
      <c r="J347" s="920"/>
      <c r="K347" s="262"/>
      <c r="L347" s="330">
        <v>14</v>
      </c>
      <c r="M347" s="428" t="s">
        <v>1219</v>
      </c>
      <c r="N347" s="331" t="s">
        <v>1231</v>
      </c>
      <c r="O347" s="332"/>
      <c r="P347" s="464"/>
      <c r="Q347" s="487">
        <f t="shared" si="51"/>
        <v>28000</v>
      </c>
      <c r="R347" s="904"/>
      <c r="S347" s="660"/>
      <c r="T347" s="564">
        <v>46173</v>
      </c>
      <c r="U347" s="548">
        <f t="shared" si="49"/>
        <v>15040.456167176329</v>
      </c>
      <c r="V347" s="929"/>
      <c r="W347" s="620">
        <f t="shared" si="52"/>
        <v>46180</v>
      </c>
      <c r="X347" s="923"/>
      <c r="Y347" s="514"/>
      <c r="Z347" s="920"/>
    </row>
    <row r="348" spans="2:26" ht="14.25" customHeight="1">
      <c r="B348" s="622"/>
      <c r="C348" s="623"/>
      <c r="D348" s="623"/>
      <c r="E348" s="624"/>
      <c r="F348" s="625"/>
      <c r="G348" s="626"/>
      <c r="H348" s="711"/>
      <c r="I348" s="920"/>
      <c r="J348" s="920"/>
      <c r="K348" s="262"/>
      <c r="L348" s="330">
        <v>14</v>
      </c>
      <c r="M348" s="428" t="s">
        <v>1219</v>
      </c>
      <c r="N348" s="331" t="s">
        <v>1232</v>
      </c>
      <c r="O348" s="332"/>
      <c r="P348" s="464"/>
      <c r="Q348" s="487">
        <f t="shared" si="51"/>
        <v>28000</v>
      </c>
      <c r="R348" s="904"/>
      <c r="S348" s="660"/>
      <c r="T348" s="564">
        <v>46203</v>
      </c>
      <c r="U348" s="548">
        <f t="shared" si="49"/>
        <v>15040.456167176329</v>
      </c>
      <c r="V348" s="929"/>
      <c r="W348" s="620">
        <f t="shared" si="52"/>
        <v>46210</v>
      </c>
      <c r="X348" s="923"/>
      <c r="Y348" s="514"/>
      <c r="Z348" s="920"/>
    </row>
    <row r="349" spans="2:26" ht="14.25" customHeight="1">
      <c r="B349" s="622"/>
      <c r="C349" s="623"/>
      <c r="D349" s="623"/>
      <c r="E349" s="624"/>
      <c r="F349" s="625"/>
      <c r="G349" s="626"/>
      <c r="H349" s="711"/>
      <c r="I349" s="920"/>
      <c r="J349" s="920"/>
      <c r="K349" s="262"/>
      <c r="L349" s="330">
        <v>14</v>
      </c>
      <c r="M349" s="428" t="s">
        <v>1219</v>
      </c>
      <c r="N349" s="331" t="s">
        <v>1233</v>
      </c>
      <c r="O349" s="332"/>
      <c r="P349" s="464"/>
      <c r="Q349" s="487">
        <f t="shared" si="51"/>
        <v>28000</v>
      </c>
      <c r="R349" s="904"/>
      <c r="S349" s="660"/>
      <c r="T349" s="564">
        <v>46234</v>
      </c>
      <c r="U349" s="548">
        <f t="shared" si="49"/>
        <v>15040.456167176329</v>
      </c>
      <c r="V349" s="929"/>
      <c r="W349" s="620">
        <f t="shared" si="52"/>
        <v>46241</v>
      </c>
      <c r="X349" s="923"/>
      <c r="Y349" s="514"/>
      <c r="Z349" s="920"/>
    </row>
    <row r="350" spans="2:26" ht="14.25" customHeight="1">
      <c r="B350" s="622"/>
      <c r="C350" s="623"/>
      <c r="D350" s="623"/>
      <c r="E350" s="624"/>
      <c r="F350" s="625"/>
      <c r="G350" s="626"/>
      <c r="H350" s="711"/>
      <c r="I350" s="920"/>
      <c r="J350" s="920"/>
      <c r="K350" s="262"/>
      <c r="L350" s="330">
        <v>14</v>
      </c>
      <c r="M350" s="428" t="s">
        <v>1219</v>
      </c>
      <c r="N350" s="331" t="s">
        <v>1234</v>
      </c>
      <c r="O350" s="332"/>
      <c r="P350" s="464"/>
      <c r="Q350" s="487">
        <f t="shared" si="51"/>
        <v>28000</v>
      </c>
      <c r="R350" s="904"/>
      <c r="S350" s="660"/>
      <c r="T350" s="564">
        <v>46265</v>
      </c>
      <c r="U350" s="548">
        <f t="shared" si="49"/>
        <v>15040.456167176329</v>
      </c>
      <c r="V350" s="929"/>
      <c r="W350" s="620">
        <f t="shared" si="52"/>
        <v>46272</v>
      </c>
      <c r="X350" s="923"/>
      <c r="Y350" s="514"/>
      <c r="Z350" s="920"/>
    </row>
    <row r="351" spans="2:26" ht="14.25" customHeight="1">
      <c r="B351" s="622"/>
      <c r="C351" s="623"/>
      <c r="D351" s="623"/>
      <c r="E351" s="624"/>
      <c r="F351" s="625"/>
      <c r="G351" s="626"/>
      <c r="H351" s="711"/>
      <c r="I351" s="920"/>
      <c r="J351" s="920"/>
      <c r="K351" s="262"/>
      <c r="L351" s="330">
        <v>14</v>
      </c>
      <c r="M351" s="428" t="s">
        <v>1219</v>
      </c>
      <c r="N351" s="331" t="s">
        <v>1235</v>
      </c>
      <c r="O351" s="332"/>
      <c r="P351" s="464"/>
      <c r="Q351" s="487">
        <v>-26000</v>
      </c>
      <c r="R351" s="904"/>
      <c r="S351" s="660"/>
      <c r="T351" s="564">
        <v>46265</v>
      </c>
      <c r="U351" s="548">
        <f t="shared" si="49"/>
        <v>-13966.137869520877</v>
      </c>
      <c r="V351" s="929"/>
      <c r="W351" s="620">
        <f t="shared" si="52"/>
        <v>46272</v>
      </c>
      <c r="X351" s="923"/>
      <c r="Y351" s="514"/>
      <c r="Z351" s="920"/>
    </row>
    <row r="352" spans="2:26" ht="14.25" customHeight="1">
      <c r="B352" s="622"/>
      <c r="C352" s="623"/>
      <c r="D352" s="623"/>
      <c r="E352" s="624"/>
      <c r="F352" s="625"/>
      <c r="G352" s="626"/>
      <c r="H352" s="711"/>
      <c r="I352" s="920"/>
      <c r="J352" s="920"/>
      <c r="K352" s="262"/>
      <c r="L352" s="330">
        <v>14</v>
      </c>
      <c r="M352" s="428" t="s">
        <v>1219</v>
      </c>
      <c r="N352" s="331"/>
      <c r="O352" s="332"/>
      <c r="P352" s="464"/>
      <c r="Q352" s="487"/>
      <c r="R352" s="904"/>
      <c r="S352" s="660"/>
      <c r="T352" s="564"/>
      <c r="U352" s="548">
        <f t="shared" si="49"/>
        <v>0</v>
      </c>
      <c r="V352" s="929"/>
      <c r="W352" s="620"/>
      <c r="X352" s="923"/>
      <c r="Y352" s="514"/>
      <c r="Z352" s="920"/>
    </row>
    <row r="353" spans="2:26" ht="14.25" customHeight="1">
      <c r="B353" s="622"/>
      <c r="C353" s="623"/>
      <c r="D353" s="623"/>
      <c r="E353" s="624"/>
      <c r="F353" s="625"/>
      <c r="G353" s="626"/>
      <c r="H353" s="711"/>
      <c r="I353" s="920"/>
      <c r="J353" s="920"/>
      <c r="K353" s="262"/>
      <c r="L353" s="330">
        <v>14</v>
      </c>
      <c r="M353" s="428" t="s">
        <v>1219</v>
      </c>
      <c r="N353" s="331" t="s">
        <v>1236</v>
      </c>
      <c r="O353" s="332"/>
      <c r="P353" s="464"/>
      <c r="Q353" s="487">
        <f>15*2*5*21</f>
        <v>3150</v>
      </c>
      <c r="R353" s="904"/>
      <c r="S353" s="660"/>
      <c r="T353" s="564" t="s">
        <v>1237</v>
      </c>
      <c r="U353" s="548">
        <f t="shared" si="49"/>
        <v>1692.0513188073371</v>
      </c>
      <c r="V353" s="929"/>
      <c r="W353" s="620">
        <v>46060</v>
      </c>
      <c r="X353" s="923"/>
      <c r="Y353" s="514"/>
      <c r="Z353" s="920"/>
    </row>
    <row r="354" spans="2:26" ht="14.25" customHeight="1">
      <c r="B354" s="622"/>
      <c r="C354" s="623"/>
      <c r="D354" s="623"/>
      <c r="E354" s="624"/>
      <c r="F354" s="625"/>
      <c r="G354" s="626"/>
      <c r="H354" s="711"/>
      <c r="I354" s="920"/>
      <c r="J354" s="920"/>
      <c r="K354" s="262"/>
      <c r="L354" s="330">
        <v>14</v>
      </c>
      <c r="M354" s="428" t="s">
        <v>1219</v>
      </c>
      <c r="N354" s="331" t="s">
        <v>1238</v>
      </c>
      <c r="O354" s="332"/>
      <c r="P354" s="464"/>
      <c r="Q354" s="487">
        <f t="shared" ref="Q354:Q360" si="53">15*2*5*21</f>
        <v>3150</v>
      </c>
      <c r="R354" s="904"/>
      <c r="S354" s="660"/>
      <c r="T354" s="564">
        <v>46081</v>
      </c>
      <c r="U354" s="548">
        <f t="shared" si="49"/>
        <v>1692.0513188073371</v>
      </c>
      <c r="V354" s="929"/>
      <c r="W354" s="620">
        <f t="shared" si="52"/>
        <v>46088</v>
      </c>
      <c r="X354" s="923"/>
      <c r="Y354" s="514"/>
      <c r="Z354" s="920"/>
    </row>
    <row r="355" spans="2:26" ht="14.25" customHeight="1">
      <c r="B355" s="622"/>
      <c r="C355" s="623"/>
      <c r="D355" s="623"/>
      <c r="E355" s="624"/>
      <c r="F355" s="625"/>
      <c r="G355" s="626"/>
      <c r="H355" s="711"/>
      <c r="I355" s="920"/>
      <c r="J355" s="920"/>
      <c r="K355" s="262"/>
      <c r="L355" s="330">
        <v>14</v>
      </c>
      <c r="M355" s="428" t="s">
        <v>1219</v>
      </c>
      <c r="N355" s="331" t="s">
        <v>1239</v>
      </c>
      <c r="O355" s="332"/>
      <c r="P355" s="464"/>
      <c r="Q355" s="487">
        <f t="shared" si="53"/>
        <v>3150</v>
      </c>
      <c r="R355" s="904"/>
      <c r="S355" s="660"/>
      <c r="T355" s="564">
        <v>46112</v>
      </c>
      <c r="U355" s="548">
        <f t="shared" si="49"/>
        <v>1692.0513188073371</v>
      </c>
      <c r="V355" s="929"/>
      <c r="W355" s="620">
        <f t="shared" si="52"/>
        <v>46119</v>
      </c>
      <c r="X355" s="923"/>
      <c r="Y355" s="514"/>
      <c r="Z355" s="920"/>
    </row>
    <row r="356" spans="2:26" ht="14.25" customHeight="1">
      <c r="B356" s="622"/>
      <c r="C356" s="623"/>
      <c r="D356" s="623"/>
      <c r="E356" s="624"/>
      <c r="F356" s="625"/>
      <c r="G356" s="626"/>
      <c r="H356" s="711"/>
      <c r="I356" s="920"/>
      <c r="J356" s="920"/>
      <c r="K356" s="262"/>
      <c r="L356" s="330">
        <v>14</v>
      </c>
      <c r="M356" s="428" t="s">
        <v>1219</v>
      </c>
      <c r="N356" s="331" t="s">
        <v>1240</v>
      </c>
      <c r="O356" s="332"/>
      <c r="P356" s="464"/>
      <c r="Q356" s="487">
        <f t="shared" si="53"/>
        <v>3150</v>
      </c>
      <c r="R356" s="904"/>
      <c r="S356" s="660"/>
      <c r="T356" s="564">
        <v>46142</v>
      </c>
      <c r="U356" s="548">
        <f t="shared" si="49"/>
        <v>1692.0513188073371</v>
      </c>
      <c r="V356" s="929"/>
      <c r="W356" s="620">
        <f t="shared" si="52"/>
        <v>46149</v>
      </c>
      <c r="X356" s="923"/>
      <c r="Y356" s="514"/>
      <c r="Z356" s="920"/>
    </row>
    <row r="357" spans="2:26" ht="14.25" customHeight="1">
      <c r="B357" s="622"/>
      <c r="C357" s="623"/>
      <c r="D357" s="623"/>
      <c r="E357" s="624"/>
      <c r="F357" s="625"/>
      <c r="G357" s="626"/>
      <c r="H357" s="711"/>
      <c r="I357" s="920"/>
      <c r="J357" s="920"/>
      <c r="K357" s="262"/>
      <c r="L357" s="330">
        <v>14</v>
      </c>
      <c r="M357" s="428" t="s">
        <v>1219</v>
      </c>
      <c r="N357" s="331" t="s">
        <v>1241</v>
      </c>
      <c r="O357" s="332"/>
      <c r="P357" s="464"/>
      <c r="Q357" s="487">
        <f t="shared" si="53"/>
        <v>3150</v>
      </c>
      <c r="R357" s="904"/>
      <c r="S357" s="660"/>
      <c r="T357" s="564">
        <v>46173</v>
      </c>
      <c r="U357" s="548">
        <f t="shared" si="49"/>
        <v>1692.0513188073371</v>
      </c>
      <c r="V357" s="929"/>
      <c r="W357" s="620">
        <f t="shared" si="52"/>
        <v>46180</v>
      </c>
      <c r="X357" s="923"/>
      <c r="Y357" s="514"/>
      <c r="Z357" s="920"/>
    </row>
    <row r="358" spans="2:26" ht="14.25" customHeight="1">
      <c r="B358" s="622"/>
      <c r="C358" s="623"/>
      <c r="D358" s="623"/>
      <c r="E358" s="624"/>
      <c r="F358" s="625"/>
      <c r="G358" s="626"/>
      <c r="H358" s="711"/>
      <c r="I358" s="920"/>
      <c r="J358" s="920"/>
      <c r="K358" s="262"/>
      <c r="L358" s="330">
        <v>14</v>
      </c>
      <c r="M358" s="428" t="s">
        <v>1219</v>
      </c>
      <c r="N358" s="331" t="s">
        <v>1242</v>
      </c>
      <c r="O358" s="332"/>
      <c r="P358" s="464"/>
      <c r="Q358" s="487">
        <f t="shared" si="53"/>
        <v>3150</v>
      </c>
      <c r="R358" s="904"/>
      <c r="S358" s="660"/>
      <c r="T358" s="564">
        <v>46203</v>
      </c>
      <c r="U358" s="548">
        <f t="shared" si="49"/>
        <v>1692.0513188073371</v>
      </c>
      <c r="V358" s="929"/>
      <c r="W358" s="620">
        <f t="shared" si="52"/>
        <v>46210</v>
      </c>
      <c r="X358" s="923"/>
      <c r="Y358" s="514"/>
      <c r="Z358" s="920"/>
    </row>
    <row r="359" spans="2:26" ht="14.25" customHeight="1">
      <c r="B359" s="622"/>
      <c r="C359" s="623"/>
      <c r="D359" s="623"/>
      <c r="E359" s="624"/>
      <c r="F359" s="625"/>
      <c r="G359" s="626"/>
      <c r="H359" s="711"/>
      <c r="I359" s="920"/>
      <c r="J359" s="920"/>
      <c r="K359" s="262"/>
      <c r="L359" s="330">
        <v>14</v>
      </c>
      <c r="M359" s="428" t="s">
        <v>1219</v>
      </c>
      <c r="N359" s="331" t="s">
        <v>1243</v>
      </c>
      <c r="O359" s="332"/>
      <c r="P359" s="464"/>
      <c r="Q359" s="487">
        <f t="shared" si="53"/>
        <v>3150</v>
      </c>
      <c r="R359" s="904"/>
      <c r="S359" s="660"/>
      <c r="T359" s="564">
        <v>46234</v>
      </c>
      <c r="U359" s="548">
        <f t="shared" si="49"/>
        <v>1692.0513188073371</v>
      </c>
      <c r="V359" s="929"/>
      <c r="W359" s="620">
        <f t="shared" si="52"/>
        <v>46241</v>
      </c>
      <c r="X359" s="923"/>
      <c r="Y359" s="514"/>
      <c r="Z359" s="920"/>
    </row>
    <row r="360" spans="2:26" ht="14.25" customHeight="1">
      <c r="B360" s="622"/>
      <c r="C360" s="623"/>
      <c r="D360" s="623"/>
      <c r="E360" s="624"/>
      <c r="F360" s="625"/>
      <c r="G360" s="626"/>
      <c r="H360" s="711"/>
      <c r="I360" s="920"/>
      <c r="J360" s="920"/>
      <c r="K360" s="262"/>
      <c r="L360" s="330">
        <v>14</v>
      </c>
      <c r="M360" s="428" t="s">
        <v>1219</v>
      </c>
      <c r="N360" s="331" t="s">
        <v>1244</v>
      </c>
      <c r="O360" s="332"/>
      <c r="P360" s="464"/>
      <c r="Q360" s="487">
        <f t="shared" si="53"/>
        <v>3150</v>
      </c>
      <c r="R360" s="904"/>
      <c r="S360" s="660"/>
      <c r="T360" s="564">
        <v>46265</v>
      </c>
      <c r="U360" s="548">
        <f t="shared" si="49"/>
        <v>1692.0513188073371</v>
      </c>
      <c r="V360" s="929"/>
      <c r="W360" s="620">
        <f t="shared" si="52"/>
        <v>46272</v>
      </c>
      <c r="X360" s="923"/>
      <c r="Y360" s="514"/>
      <c r="Z360" s="920"/>
    </row>
    <row r="361" spans="2:26" ht="14.25" customHeight="1">
      <c r="B361" s="622"/>
      <c r="C361" s="623"/>
      <c r="D361" s="623"/>
      <c r="E361" s="624"/>
      <c r="F361" s="625"/>
      <c r="G361" s="626"/>
      <c r="H361" s="711"/>
      <c r="I361" s="920"/>
      <c r="J361" s="920"/>
      <c r="K361" s="262"/>
      <c r="L361" s="330">
        <v>14</v>
      </c>
      <c r="M361" s="428" t="s">
        <v>1219</v>
      </c>
      <c r="N361" s="331"/>
      <c r="O361" s="332"/>
      <c r="P361" s="464"/>
      <c r="Q361" s="487"/>
      <c r="R361" s="904"/>
      <c r="S361" s="660"/>
      <c r="T361" s="564"/>
      <c r="U361" s="548">
        <f t="shared" si="49"/>
        <v>0</v>
      </c>
      <c r="V361" s="929"/>
      <c r="W361" s="620"/>
      <c r="X361" s="923"/>
      <c r="Y361" s="514"/>
      <c r="Z361" s="920"/>
    </row>
    <row r="362" spans="2:26" ht="14.25" customHeight="1">
      <c r="B362" s="622"/>
      <c r="C362" s="623"/>
      <c r="D362" s="623"/>
      <c r="E362" s="624"/>
      <c r="F362" s="625"/>
      <c r="G362" s="626"/>
      <c r="H362" s="711"/>
      <c r="I362" s="920"/>
      <c r="J362" s="920"/>
      <c r="K362" s="262"/>
      <c r="L362" s="330">
        <v>14</v>
      </c>
      <c r="M362" s="428" t="s">
        <v>1219</v>
      </c>
      <c r="N362" s="331" t="s">
        <v>1245</v>
      </c>
      <c r="O362" s="332"/>
      <c r="P362" s="464"/>
      <c r="Q362" s="487">
        <f t="shared" ref="Q362:Q368" si="54">200*2*22</f>
        <v>8800</v>
      </c>
      <c r="R362" s="904"/>
      <c r="S362" s="660"/>
      <c r="T362" s="564">
        <v>46081</v>
      </c>
      <c r="U362" s="548">
        <f t="shared" si="49"/>
        <v>4727.0005096839886</v>
      </c>
      <c r="V362" s="929"/>
      <c r="W362" s="620">
        <f t="shared" si="52"/>
        <v>46088</v>
      </c>
      <c r="X362" s="923"/>
      <c r="Y362" s="514"/>
      <c r="Z362" s="920"/>
    </row>
    <row r="363" spans="2:26" ht="14.25" customHeight="1">
      <c r="B363" s="622"/>
      <c r="C363" s="623"/>
      <c r="D363" s="623"/>
      <c r="E363" s="624"/>
      <c r="F363" s="625"/>
      <c r="G363" s="626"/>
      <c r="H363" s="711"/>
      <c r="I363" s="920"/>
      <c r="J363" s="920"/>
      <c r="K363" s="262"/>
      <c r="L363" s="330">
        <v>14</v>
      </c>
      <c r="M363" s="428" t="s">
        <v>1219</v>
      </c>
      <c r="N363" s="331" t="s">
        <v>1246</v>
      </c>
      <c r="O363" s="332"/>
      <c r="P363" s="464"/>
      <c r="Q363" s="487">
        <f t="shared" si="54"/>
        <v>8800</v>
      </c>
      <c r="R363" s="904"/>
      <c r="S363" s="660"/>
      <c r="T363" s="564">
        <v>46112</v>
      </c>
      <c r="U363" s="548">
        <f t="shared" si="49"/>
        <v>4727.0005096839886</v>
      </c>
      <c r="V363" s="929"/>
      <c r="W363" s="620">
        <f t="shared" si="52"/>
        <v>46119</v>
      </c>
      <c r="X363" s="923"/>
      <c r="Y363" s="514"/>
      <c r="Z363" s="920"/>
    </row>
    <row r="364" spans="2:26" ht="14.25" customHeight="1">
      <c r="B364" s="622"/>
      <c r="C364" s="623"/>
      <c r="D364" s="623"/>
      <c r="E364" s="624"/>
      <c r="F364" s="625"/>
      <c r="G364" s="626"/>
      <c r="H364" s="711"/>
      <c r="I364" s="920"/>
      <c r="J364" s="920"/>
      <c r="K364" s="262"/>
      <c r="L364" s="330">
        <v>14</v>
      </c>
      <c r="M364" s="428" t="s">
        <v>1219</v>
      </c>
      <c r="N364" s="331" t="s">
        <v>1247</v>
      </c>
      <c r="O364" s="332"/>
      <c r="P364" s="464"/>
      <c r="Q364" s="487">
        <f t="shared" si="54"/>
        <v>8800</v>
      </c>
      <c r="R364" s="904"/>
      <c r="S364" s="660"/>
      <c r="T364" s="564">
        <v>46142</v>
      </c>
      <c r="U364" s="548">
        <f t="shared" si="49"/>
        <v>4727.0005096839886</v>
      </c>
      <c r="V364" s="929"/>
      <c r="W364" s="620">
        <f t="shared" si="52"/>
        <v>46149</v>
      </c>
      <c r="X364" s="923"/>
      <c r="Y364" s="514"/>
      <c r="Z364" s="920"/>
    </row>
    <row r="365" spans="2:26" ht="14.25" customHeight="1">
      <c r="B365" s="622"/>
      <c r="C365" s="623"/>
      <c r="D365" s="623"/>
      <c r="E365" s="624"/>
      <c r="F365" s="625"/>
      <c r="G365" s="626"/>
      <c r="H365" s="711"/>
      <c r="I365" s="920"/>
      <c r="J365" s="920"/>
      <c r="K365" s="262"/>
      <c r="L365" s="330">
        <v>14</v>
      </c>
      <c r="M365" s="428" t="s">
        <v>1219</v>
      </c>
      <c r="N365" s="331" t="s">
        <v>1248</v>
      </c>
      <c r="O365" s="332"/>
      <c r="P365" s="464"/>
      <c r="Q365" s="487">
        <f t="shared" si="54"/>
        <v>8800</v>
      </c>
      <c r="R365" s="904"/>
      <c r="S365" s="660"/>
      <c r="T365" s="564">
        <v>46173</v>
      </c>
      <c r="U365" s="548">
        <f t="shared" si="49"/>
        <v>4727.0005096839886</v>
      </c>
      <c r="V365" s="929"/>
      <c r="W365" s="620">
        <f t="shared" si="52"/>
        <v>46180</v>
      </c>
      <c r="X365" s="923"/>
      <c r="Y365" s="514"/>
      <c r="Z365" s="920"/>
    </row>
    <row r="366" spans="2:26" ht="14.25" customHeight="1">
      <c r="B366" s="622"/>
      <c r="C366" s="623"/>
      <c r="D366" s="623"/>
      <c r="E366" s="624"/>
      <c r="F366" s="625"/>
      <c r="G366" s="626"/>
      <c r="H366" s="711"/>
      <c r="I366" s="920"/>
      <c r="J366" s="920"/>
      <c r="K366" s="262"/>
      <c r="L366" s="330">
        <v>14</v>
      </c>
      <c r="M366" s="428" t="s">
        <v>1219</v>
      </c>
      <c r="N366" s="331" t="s">
        <v>1249</v>
      </c>
      <c r="O366" s="332"/>
      <c r="P366" s="464"/>
      <c r="Q366" s="487">
        <f t="shared" si="54"/>
        <v>8800</v>
      </c>
      <c r="R366" s="904"/>
      <c r="S366" s="660"/>
      <c r="T366" s="564">
        <v>46203</v>
      </c>
      <c r="U366" s="548">
        <f t="shared" si="49"/>
        <v>4727.0005096839886</v>
      </c>
      <c r="V366" s="929"/>
      <c r="W366" s="620">
        <f t="shared" si="52"/>
        <v>46210</v>
      </c>
      <c r="X366" s="923"/>
      <c r="Y366" s="514"/>
      <c r="Z366" s="920"/>
    </row>
    <row r="367" spans="2:26" ht="14.25" customHeight="1">
      <c r="B367" s="622"/>
      <c r="C367" s="623"/>
      <c r="D367" s="623"/>
      <c r="E367" s="624"/>
      <c r="F367" s="625"/>
      <c r="G367" s="626"/>
      <c r="H367" s="711"/>
      <c r="I367" s="920"/>
      <c r="J367" s="920"/>
      <c r="K367" s="262"/>
      <c r="L367" s="330">
        <v>14</v>
      </c>
      <c r="M367" s="428" t="s">
        <v>1219</v>
      </c>
      <c r="N367" s="331" t="s">
        <v>1250</v>
      </c>
      <c r="O367" s="332"/>
      <c r="P367" s="464"/>
      <c r="Q367" s="487">
        <f t="shared" si="54"/>
        <v>8800</v>
      </c>
      <c r="R367" s="904"/>
      <c r="S367" s="660"/>
      <c r="T367" s="564">
        <v>46234</v>
      </c>
      <c r="U367" s="548">
        <f t="shared" si="49"/>
        <v>4727.0005096839886</v>
      </c>
      <c r="V367" s="929"/>
      <c r="W367" s="620">
        <f t="shared" si="52"/>
        <v>46241</v>
      </c>
      <c r="X367" s="923"/>
      <c r="Y367" s="514"/>
      <c r="Z367" s="920"/>
    </row>
    <row r="368" spans="2:26" ht="14.25" customHeight="1">
      <c r="B368" s="622"/>
      <c r="C368" s="623"/>
      <c r="D368" s="623"/>
      <c r="E368" s="624"/>
      <c r="F368" s="625"/>
      <c r="G368" s="626"/>
      <c r="H368" s="711"/>
      <c r="I368" s="920"/>
      <c r="J368" s="920"/>
      <c r="K368" s="262"/>
      <c r="L368" s="330">
        <v>14</v>
      </c>
      <c r="M368" s="428" t="s">
        <v>1219</v>
      </c>
      <c r="N368" s="331" t="s">
        <v>1251</v>
      </c>
      <c r="O368" s="332"/>
      <c r="P368" s="464"/>
      <c r="Q368" s="487">
        <f t="shared" si="54"/>
        <v>8800</v>
      </c>
      <c r="R368" s="904"/>
      <c r="S368" s="660"/>
      <c r="T368" s="564">
        <v>46265</v>
      </c>
      <c r="U368" s="548">
        <f t="shared" si="49"/>
        <v>4727.0005096839886</v>
      </c>
      <c r="V368" s="929"/>
      <c r="W368" s="620">
        <f t="shared" si="52"/>
        <v>46272</v>
      </c>
      <c r="X368" s="923"/>
      <c r="Y368" s="514"/>
      <c r="Z368" s="920"/>
    </row>
    <row r="369" spans="1:26" ht="14.25" customHeight="1">
      <c r="B369" s="622"/>
      <c r="C369" s="623"/>
      <c r="D369" s="623"/>
      <c r="E369" s="624"/>
      <c r="F369" s="625"/>
      <c r="G369" s="626"/>
      <c r="H369" s="711"/>
      <c r="I369" s="920"/>
      <c r="J369" s="920"/>
      <c r="K369" s="262"/>
      <c r="L369" s="330">
        <v>14</v>
      </c>
      <c r="M369" s="428" t="s">
        <v>1219</v>
      </c>
      <c r="N369" s="331"/>
      <c r="O369" s="332"/>
      <c r="P369" s="464"/>
      <c r="Q369" s="487"/>
      <c r="R369" s="904"/>
      <c r="S369" s="660"/>
      <c r="T369" s="564"/>
      <c r="U369" s="548">
        <f t="shared" si="49"/>
        <v>0</v>
      </c>
      <c r="V369" s="929"/>
      <c r="W369" s="620"/>
      <c r="X369" s="923"/>
      <c r="Y369" s="514"/>
      <c r="Z369" s="920"/>
    </row>
    <row r="370" spans="1:26" ht="15" customHeight="1" thickBot="1">
      <c r="B370" s="263">
        <v>14</v>
      </c>
      <c r="C370" s="334"/>
      <c r="D370" s="334"/>
      <c r="E370" s="335"/>
      <c r="F370" s="465"/>
      <c r="G370" s="264"/>
      <c r="H370" s="712"/>
      <c r="I370" s="921"/>
      <c r="J370" s="921"/>
      <c r="K370" s="265"/>
      <c r="L370" s="263">
        <v>14</v>
      </c>
      <c r="M370" s="429" t="s">
        <v>1219</v>
      </c>
      <c r="N370" s="334"/>
      <c r="O370" s="335"/>
      <c r="P370" s="465"/>
      <c r="Q370" s="488"/>
      <c r="R370" s="905"/>
      <c r="S370" s="661"/>
      <c r="T370" s="565" t="str">
        <f t="shared" ref="T370:T394" si="55">IF(W370&gt;1,EOMONTH(W370,0),"")</f>
        <v/>
      </c>
      <c r="U370" s="548">
        <f t="shared" si="49"/>
        <v>0</v>
      </c>
      <c r="V370" s="930"/>
      <c r="W370" s="621"/>
      <c r="X370" s="924"/>
      <c r="Y370" s="515"/>
      <c r="Z370" s="921"/>
    </row>
    <row r="371" spans="1:26" ht="14.5" thickBot="1">
      <c r="A371" s="24"/>
      <c r="B371" s="280"/>
      <c r="C371" s="267"/>
      <c r="D371" s="267"/>
      <c r="E371" s="281"/>
      <c r="F371" s="449"/>
      <c r="G371" s="282"/>
      <c r="H371" s="700"/>
      <c r="I371" s="336"/>
      <c r="J371" s="336"/>
      <c r="K371" s="24"/>
      <c r="L371" s="280"/>
      <c r="M371" s="267"/>
      <c r="N371" s="267"/>
      <c r="O371" s="281"/>
      <c r="P371" s="449"/>
      <c r="Q371" s="479"/>
      <c r="R371" s="894"/>
      <c r="S371" s="652"/>
      <c r="T371" s="553" t="str">
        <f t="shared" si="55"/>
        <v/>
      </c>
      <c r="U371" s="541"/>
      <c r="V371" s="521"/>
      <c r="W371" s="610"/>
      <c r="X371" s="517"/>
      <c r="Y371" s="508"/>
      <c r="Z371" s="336"/>
    </row>
    <row r="372" spans="1:26">
      <c r="B372" s="271">
        <v>15</v>
      </c>
      <c r="C372" s="272" t="s">
        <v>1252</v>
      </c>
      <c r="D372" s="272" t="s">
        <v>1253</v>
      </c>
      <c r="E372" s="273"/>
      <c r="F372" s="430"/>
      <c r="G372" s="274">
        <v>2000000</v>
      </c>
      <c r="H372" s="701">
        <v>45900</v>
      </c>
      <c r="I372" s="913">
        <f>SUM(G372:G394)</f>
        <v>2000000</v>
      </c>
      <c r="J372" s="913">
        <v>2173913.0434782598</v>
      </c>
      <c r="K372" s="275"/>
      <c r="L372" s="271">
        <v>15</v>
      </c>
      <c r="M372" s="341" t="s">
        <v>1254</v>
      </c>
      <c r="N372" s="272"/>
      <c r="O372" s="273"/>
      <c r="P372" s="430"/>
      <c r="Q372" s="480"/>
      <c r="R372" s="873"/>
      <c r="S372" s="653"/>
      <c r="T372" s="557"/>
      <c r="U372" s="542">
        <f>(Q372/$X$372*$J$372)</f>
        <v>0</v>
      </c>
      <c r="V372" s="925">
        <f>J372-SUM(U372:U394)</f>
        <v>0</v>
      </c>
      <c r="W372" s="614"/>
      <c r="X372" s="910">
        <f>SUM(Q372:Q394)</f>
        <v>4089163.0843127687</v>
      </c>
      <c r="Y372" s="511"/>
      <c r="Z372" s="913">
        <f>I372-X372</f>
        <v>-2089163.0843127687</v>
      </c>
    </row>
    <row r="373" spans="1:26">
      <c r="B373" s="758"/>
      <c r="C373" s="759"/>
      <c r="D373" s="759"/>
      <c r="E373" s="760"/>
      <c r="F373" s="761"/>
      <c r="G373" s="762"/>
      <c r="H373" s="763"/>
      <c r="I373" s="914"/>
      <c r="J373" s="914"/>
      <c r="K373" s="278"/>
      <c r="L373" s="301">
        <v>15</v>
      </c>
      <c r="M373" s="381" t="s">
        <v>1254</v>
      </c>
      <c r="N373" s="303"/>
      <c r="O373" s="304"/>
      <c r="P373" s="452"/>
      <c r="Q373" s="475"/>
      <c r="R373" s="888"/>
      <c r="S373" s="645"/>
      <c r="T373" s="557" t="str">
        <f t="shared" ref="T373:T382" si="56">IF(W373&gt;1,EOMONTH(W373,0),"")</f>
        <v/>
      </c>
      <c r="U373" s="542">
        <f>(Q373/$X$372*$J$372)</f>
        <v>0</v>
      </c>
      <c r="V373" s="926"/>
      <c r="W373" s="608"/>
      <c r="X373" s="911"/>
      <c r="Y373" s="507"/>
      <c r="Z373" s="914"/>
    </row>
    <row r="374" spans="1:26">
      <c r="B374" s="758"/>
      <c r="C374" s="759"/>
      <c r="D374" s="759"/>
      <c r="E374" s="760"/>
      <c r="F374" s="761"/>
      <c r="G374" s="762"/>
      <c r="H374" s="763"/>
      <c r="I374" s="914"/>
      <c r="J374" s="914"/>
      <c r="K374" s="278"/>
      <c r="L374" s="301">
        <v>15</v>
      </c>
      <c r="M374" s="381" t="s">
        <v>1254</v>
      </c>
      <c r="N374" s="303" t="s">
        <v>1255</v>
      </c>
      <c r="O374" s="304">
        <v>1</v>
      </c>
      <c r="P374" s="452">
        <f>(0.9-O375)*9.9*1200000</f>
        <v>1187999.9999999998</v>
      </c>
      <c r="Q374" s="475">
        <f>O374*P374</f>
        <v>1187999.9999999998</v>
      </c>
      <c r="R374" s="888"/>
      <c r="S374" s="645"/>
      <c r="T374" s="557">
        <f t="shared" si="56"/>
        <v>46265</v>
      </c>
      <c r="U374" s="542">
        <f>(Q374/$X$372*$J$372)</f>
        <v>631573.90458693577</v>
      </c>
      <c r="V374" s="926"/>
      <c r="W374" s="608">
        <v>46265</v>
      </c>
      <c r="X374" s="911"/>
      <c r="Y374" s="507"/>
      <c r="Z374" s="914"/>
    </row>
    <row r="375" spans="1:26">
      <c r="B375" s="758"/>
      <c r="C375" s="759"/>
      <c r="D375" s="759"/>
      <c r="E375" s="760"/>
      <c r="F375" s="761"/>
      <c r="G375" s="762"/>
      <c r="H375" s="763"/>
      <c r="I375" s="914"/>
      <c r="J375" s="914"/>
      <c r="K375" s="278"/>
      <c r="L375" s="301">
        <v>15</v>
      </c>
      <c r="M375" s="381" t="s">
        <v>1254</v>
      </c>
      <c r="N375" s="303" t="s">
        <v>1256</v>
      </c>
      <c r="O375" s="800">
        <v>0.8</v>
      </c>
      <c r="P375" s="452"/>
      <c r="Q375" s="475"/>
      <c r="R375" s="888"/>
      <c r="S375" s="645"/>
      <c r="T375" s="557" t="str">
        <f t="shared" si="56"/>
        <v/>
      </c>
      <c r="U375" s="542">
        <f t="shared" ref="U375:U393" si="57">(Q375/$X$372*$J$372)</f>
        <v>0</v>
      </c>
      <c r="V375" s="926"/>
      <c r="W375" s="608"/>
      <c r="X375" s="911"/>
      <c r="Y375" s="507"/>
      <c r="Z375" s="914"/>
    </row>
    <row r="376" spans="1:26">
      <c r="B376" s="758"/>
      <c r="C376" s="759"/>
      <c r="D376" s="759"/>
      <c r="E376" s="760"/>
      <c r="F376" s="761"/>
      <c r="G376" s="762"/>
      <c r="H376" s="763"/>
      <c r="I376" s="914"/>
      <c r="J376" s="914"/>
      <c r="K376" s="278"/>
      <c r="L376" s="301">
        <v>15</v>
      </c>
      <c r="M376" s="381" t="s">
        <v>1254</v>
      </c>
      <c r="N376" s="303"/>
      <c r="O376" s="304"/>
      <c r="P376" s="452"/>
      <c r="Q376" s="475"/>
      <c r="R376" s="888"/>
      <c r="S376" s="645"/>
      <c r="T376" s="557" t="str">
        <f t="shared" si="56"/>
        <v/>
      </c>
      <c r="U376" s="542">
        <f t="shared" si="57"/>
        <v>0</v>
      </c>
      <c r="V376" s="926"/>
      <c r="W376" s="608"/>
      <c r="X376" s="911"/>
      <c r="Y376" s="507"/>
      <c r="Z376" s="914"/>
    </row>
    <row r="377" spans="1:26">
      <c r="B377" s="758"/>
      <c r="C377" s="759"/>
      <c r="D377" s="759"/>
      <c r="E377" s="760"/>
      <c r="F377" s="761"/>
      <c r="G377" s="762"/>
      <c r="H377" s="763"/>
      <c r="I377" s="914"/>
      <c r="J377" s="914"/>
      <c r="K377" s="278"/>
      <c r="L377" s="301">
        <v>15</v>
      </c>
      <c r="M377" s="381" t="s">
        <v>1254</v>
      </c>
      <c r="N377" s="303" t="s">
        <v>1257</v>
      </c>
      <c r="O377" s="304"/>
      <c r="P377" s="452"/>
      <c r="Q377" s="475">
        <f>P378*P379*O380</f>
        <v>1724395.3443127689</v>
      </c>
      <c r="R377" s="888"/>
      <c r="S377" s="645"/>
      <c r="T377" s="557">
        <f t="shared" si="56"/>
        <v>46265</v>
      </c>
      <c r="U377" s="542">
        <f t="shared" si="57"/>
        <v>916736.61671645532</v>
      </c>
      <c r="V377" s="926"/>
      <c r="W377" s="608">
        <f>W374</f>
        <v>46265</v>
      </c>
      <c r="X377" s="911"/>
      <c r="Y377" s="507"/>
      <c r="Z377" s="914"/>
    </row>
    <row r="378" spans="1:26">
      <c r="B378" s="758"/>
      <c r="C378" s="759"/>
      <c r="D378" s="759"/>
      <c r="E378" s="760"/>
      <c r="F378" s="761"/>
      <c r="G378" s="762"/>
      <c r="H378" s="763"/>
      <c r="I378" s="914"/>
      <c r="J378" s="914"/>
      <c r="K378" s="278"/>
      <c r="L378" s="301">
        <v>15</v>
      </c>
      <c r="M378" s="381" t="s">
        <v>1254</v>
      </c>
      <c r="N378" s="303" t="s">
        <v>1258</v>
      </c>
      <c r="O378" s="304"/>
      <c r="P378" s="452">
        <v>0.99</v>
      </c>
      <c r="Q378" s="475"/>
      <c r="R378" s="888"/>
      <c r="S378" s="645"/>
      <c r="T378" s="557" t="str">
        <f t="shared" si="56"/>
        <v/>
      </c>
      <c r="U378" s="542">
        <f t="shared" si="57"/>
        <v>0</v>
      </c>
      <c r="V378" s="926"/>
      <c r="W378" s="608"/>
      <c r="X378" s="911"/>
      <c r="Y378" s="507"/>
      <c r="Z378" s="914"/>
    </row>
    <row r="379" spans="1:26">
      <c r="B379" s="758"/>
      <c r="C379" s="759"/>
      <c r="D379" s="759"/>
      <c r="E379" s="760"/>
      <c r="F379" s="761"/>
      <c r="G379" s="762"/>
      <c r="H379" s="763"/>
      <c r="I379" s="914"/>
      <c r="J379" s="914"/>
      <c r="K379" s="278"/>
      <c r="L379" s="301">
        <v>15</v>
      </c>
      <c r="M379" s="381" t="s">
        <v>1254</v>
      </c>
      <c r="N379" s="303" t="s">
        <v>1259</v>
      </c>
      <c r="O379" s="304"/>
      <c r="P379" s="801">
        <f>51229.8082089355</f>
        <v>51229.808208935501</v>
      </c>
      <c r="Q379" s="475"/>
      <c r="R379" s="888"/>
      <c r="S379" s="645"/>
      <c r="T379" s="557" t="str">
        <f t="shared" si="56"/>
        <v/>
      </c>
      <c r="U379" s="542">
        <f t="shared" si="57"/>
        <v>0</v>
      </c>
      <c r="V379" s="926"/>
      <c r="W379" s="608"/>
      <c r="X379" s="911"/>
      <c r="Y379" s="507"/>
      <c r="Z379" s="914"/>
    </row>
    <row r="380" spans="1:26">
      <c r="B380" s="758"/>
      <c r="C380" s="759"/>
      <c r="D380" s="759"/>
      <c r="E380" s="760"/>
      <c r="F380" s="761"/>
      <c r="G380" s="762"/>
      <c r="H380" s="763"/>
      <c r="I380" s="914"/>
      <c r="J380" s="914"/>
      <c r="K380" s="278"/>
      <c r="L380" s="301">
        <v>15</v>
      </c>
      <c r="M380" s="381" t="s">
        <v>1254</v>
      </c>
      <c r="N380" s="303" t="s">
        <v>1260</v>
      </c>
      <c r="O380" s="304">
        <f>('Project Plan'!Y33-('Project Plan'!W28+(5*30)))*2</f>
        <v>34</v>
      </c>
      <c r="P380" s="452"/>
      <c r="Q380" s="475"/>
      <c r="R380" s="888"/>
      <c r="S380" s="645"/>
      <c r="T380" s="557" t="str">
        <f t="shared" si="56"/>
        <v/>
      </c>
      <c r="U380" s="542">
        <f t="shared" si="57"/>
        <v>0</v>
      </c>
      <c r="V380" s="926"/>
      <c r="W380" s="608"/>
      <c r="X380" s="911"/>
      <c r="Y380" s="507"/>
      <c r="Z380" s="914"/>
    </row>
    <row r="381" spans="1:26">
      <c r="B381" s="758"/>
      <c r="C381" s="759"/>
      <c r="D381" s="759"/>
      <c r="E381" s="760"/>
      <c r="F381" s="761"/>
      <c r="G381" s="762"/>
      <c r="H381" s="763"/>
      <c r="I381" s="914"/>
      <c r="J381" s="914"/>
      <c r="K381" s="278"/>
      <c r="L381" s="301">
        <v>15</v>
      </c>
      <c r="M381" s="381" t="s">
        <v>1254</v>
      </c>
      <c r="N381" s="303"/>
      <c r="O381" s="304"/>
      <c r="P381" s="452"/>
      <c r="Q381" s="475"/>
      <c r="R381" s="888"/>
      <c r="S381" s="645"/>
      <c r="T381" s="557" t="str">
        <f t="shared" si="56"/>
        <v/>
      </c>
      <c r="U381" s="542">
        <f t="shared" si="57"/>
        <v>0</v>
      </c>
      <c r="V381" s="926"/>
      <c r="W381" s="608"/>
      <c r="X381" s="911"/>
      <c r="Y381" s="507"/>
      <c r="Z381" s="914"/>
    </row>
    <row r="382" spans="1:26">
      <c r="B382" s="758"/>
      <c r="C382" s="759"/>
      <c r="D382" s="759"/>
      <c r="E382" s="760"/>
      <c r="F382" s="761"/>
      <c r="G382" s="762"/>
      <c r="H382" s="763"/>
      <c r="I382" s="914"/>
      <c r="J382" s="914"/>
      <c r="K382" s="278"/>
      <c r="L382" s="301">
        <v>15</v>
      </c>
      <c r="M382" s="381" t="s">
        <v>1254</v>
      </c>
      <c r="N382" s="303" t="s">
        <v>1261</v>
      </c>
      <c r="O382" s="304"/>
      <c r="P382" s="452"/>
      <c r="Q382" s="475">
        <v>100000</v>
      </c>
      <c r="R382" s="888"/>
      <c r="S382" s="645"/>
      <c r="T382" s="557">
        <f t="shared" si="56"/>
        <v>46265</v>
      </c>
      <c r="U382" s="542">
        <f t="shared" si="57"/>
        <v>53162.786581391905</v>
      </c>
      <c r="V382" s="926"/>
      <c r="W382" s="608">
        <v>46265</v>
      </c>
      <c r="X382" s="911"/>
      <c r="Y382" s="507"/>
      <c r="Z382" s="914"/>
    </row>
    <row r="383" spans="1:26">
      <c r="B383" s="758"/>
      <c r="C383" s="759"/>
      <c r="D383" s="759"/>
      <c r="E383" s="760"/>
      <c r="F383" s="761"/>
      <c r="G383" s="762"/>
      <c r="H383" s="763"/>
      <c r="I383" s="914"/>
      <c r="J383" s="914"/>
      <c r="K383" s="278"/>
      <c r="L383" s="301">
        <v>15</v>
      </c>
      <c r="M383" s="381" t="s">
        <v>1254</v>
      </c>
      <c r="N383" s="303"/>
      <c r="O383" s="304"/>
      <c r="P383" s="452"/>
      <c r="Q383" s="475"/>
      <c r="R383" s="888"/>
      <c r="S383" s="645"/>
      <c r="T383" s="557"/>
      <c r="U383" s="542"/>
      <c r="V383" s="926"/>
      <c r="W383" s="608"/>
      <c r="X383" s="911"/>
      <c r="Y383" s="507"/>
      <c r="Z383" s="914"/>
    </row>
    <row r="384" spans="1:26">
      <c r="B384" s="758"/>
      <c r="C384" s="759"/>
      <c r="D384" s="759"/>
      <c r="E384" s="760"/>
      <c r="F384" s="761"/>
      <c r="G384" s="762"/>
      <c r="H384" s="763"/>
      <c r="I384" s="914"/>
      <c r="J384" s="914"/>
      <c r="K384" s="278"/>
      <c r="L384" s="301">
        <v>15</v>
      </c>
      <c r="M384" s="381" t="s">
        <v>1254</v>
      </c>
      <c r="N384" s="303" t="s">
        <v>1262</v>
      </c>
      <c r="O384" s="304"/>
      <c r="P384" s="452"/>
      <c r="Q384" s="475">
        <v>92000</v>
      </c>
      <c r="R384" s="888"/>
      <c r="S384" s="645"/>
      <c r="T384" s="557">
        <v>46081</v>
      </c>
      <c r="U384" s="542">
        <f t="shared" si="57"/>
        <v>48909.763654880553</v>
      </c>
      <c r="V384" s="926"/>
      <c r="W384" s="608">
        <v>46112</v>
      </c>
      <c r="X384" s="911"/>
      <c r="Y384" s="507"/>
      <c r="Z384" s="914"/>
    </row>
    <row r="385" spans="2:77">
      <c r="B385" s="758"/>
      <c r="C385" s="759"/>
      <c r="D385" s="759"/>
      <c r="E385" s="760"/>
      <c r="F385" s="761"/>
      <c r="G385" s="762"/>
      <c r="H385" s="763"/>
      <c r="I385" s="914"/>
      <c r="J385" s="914"/>
      <c r="K385" s="278"/>
      <c r="L385" s="301">
        <v>15</v>
      </c>
      <c r="M385" s="381" t="s">
        <v>1254</v>
      </c>
      <c r="N385" s="303" t="s">
        <v>1263</v>
      </c>
      <c r="O385" s="304"/>
      <c r="P385" s="452"/>
      <c r="Q385" s="475">
        <v>35049.699999999997</v>
      </c>
      <c r="R385" s="888"/>
      <c r="S385" s="645"/>
      <c r="T385" s="557">
        <v>46081</v>
      </c>
      <c r="U385" s="542">
        <f t="shared" si="57"/>
        <v>18633.397208418115</v>
      </c>
      <c r="V385" s="926"/>
      <c r="W385" s="608">
        <v>46112</v>
      </c>
      <c r="X385" s="911"/>
      <c r="Y385" s="507"/>
      <c r="Z385" s="914"/>
    </row>
    <row r="386" spans="2:77">
      <c r="B386" s="758"/>
      <c r="C386" s="759"/>
      <c r="D386" s="759"/>
      <c r="E386" s="760"/>
      <c r="F386" s="761"/>
      <c r="G386" s="762"/>
      <c r="H386" s="763"/>
      <c r="I386" s="914"/>
      <c r="J386" s="914"/>
      <c r="K386" s="278"/>
      <c r="L386" s="301">
        <v>15</v>
      </c>
      <c r="M386" s="381" t="s">
        <v>1254</v>
      </c>
      <c r="N386" s="303" t="s">
        <v>1264</v>
      </c>
      <c r="O386" s="304"/>
      <c r="P386" s="452"/>
      <c r="Q386" s="475">
        <v>204566.79</v>
      </c>
      <c r="R386" s="888"/>
      <c r="S386" s="645"/>
      <c r="T386" s="557">
        <v>46081</v>
      </c>
      <c r="U386" s="542">
        <f t="shared" si="57"/>
        <v>108753.40598410415</v>
      </c>
      <c r="V386" s="926"/>
      <c r="W386" s="608">
        <v>46112</v>
      </c>
      <c r="X386" s="911"/>
      <c r="Y386" s="507"/>
      <c r="Z386" s="914"/>
    </row>
    <row r="387" spans="2:77">
      <c r="B387" s="758"/>
      <c r="C387" s="759"/>
      <c r="D387" s="759"/>
      <c r="E387" s="760"/>
      <c r="F387" s="761"/>
      <c r="G387" s="762"/>
      <c r="H387" s="763"/>
      <c r="I387" s="914"/>
      <c r="J387" s="914"/>
      <c r="K387" s="278"/>
      <c r="L387" s="301">
        <v>15</v>
      </c>
      <c r="M387" s="381" t="s">
        <v>1254</v>
      </c>
      <c r="N387" s="303" t="s">
        <v>1265</v>
      </c>
      <c r="O387" s="304"/>
      <c r="P387" s="452"/>
      <c r="Q387" s="475">
        <v>221934</v>
      </c>
      <c r="R387" s="888"/>
      <c r="S387" s="645"/>
      <c r="T387" s="557">
        <v>46112</v>
      </c>
      <c r="U387" s="542">
        <f t="shared" si="57"/>
        <v>117986.2987715463</v>
      </c>
      <c r="V387" s="926"/>
      <c r="W387" s="608">
        <v>46112</v>
      </c>
      <c r="X387" s="911"/>
      <c r="Y387" s="507"/>
      <c r="Z387" s="914"/>
    </row>
    <row r="388" spans="2:77">
      <c r="B388" s="758"/>
      <c r="C388" s="759"/>
      <c r="D388" s="759"/>
      <c r="E388" s="760"/>
      <c r="F388" s="761"/>
      <c r="G388" s="762"/>
      <c r="H388" s="763"/>
      <c r="I388" s="914"/>
      <c r="J388" s="914"/>
      <c r="K388" s="278"/>
      <c r="L388" s="301">
        <v>15</v>
      </c>
      <c r="M388" s="381" t="s">
        <v>1254</v>
      </c>
      <c r="N388" s="303" t="s">
        <v>1266</v>
      </c>
      <c r="O388" s="304"/>
      <c r="P388" s="452"/>
      <c r="Q388" s="475">
        <v>178241.37</v>
      </c>
      <c r="R388" s="888"/>
      <c r="S388" s="645"/>
      <c r="T388" s="557">
        <v>46142</v>
      </c>
      <c r="U388" s="542">
        <f t="shared" si="57"/>
        <v>94758.079132849089</v>
      </c>
      <c r="V388" s="926"/>
      <c r="W388" s="608">
        <v>46142</v>
      </c>
      <c r="X388" s="911"/>
      <c r="Y388" s="507"/>
      <c r="Z388" s="914"/>
    </row>
    <row r="389" spans="2:77">
      <c r="B389" s="758"/>
      <c r="C389" s="759"/>
      <c r="D389" s="759"/>
      <c r="E389" s="760"/>
      <c r="F389" s="761"/>
      <c r="G389" s="762"/>
      <c r="H389" s="763"/>
      <c r="I389" s="914"/>
      <c r="J389" s="914"/>
      <c r="K389" s="278"/>
      <c r="L389" s="301">
        <v>15</v>
      </c>
      <c r="M389" s="381" t="s">
        <v>1254</v>
      </c>
      <c r="N389" s="303" t="s">
        <v>1267</v>
      </c>
      <c r="O389" s="304"/>
      <c r="P389" s="452"/>
      <c r="Q389" s="475">
        <v>145837.76000000001</v>
      </c>
      <c r="R389" s="888"/>
      <c r="S389" s="645"/>
      <c r="T389" s="557">
        <v>46173</v>
      </c>
      <c r="U389" s="542">
        <f t="shared" si="57"/>
        <v>77531.41710388253</v>
      </c>
      <c r="V389" s="926"/>
      <c r="W389" s="608">
        <v>46173</v>
      </c>
      <c r="X389" s="911"/>
      <c r="Y389" s="507"/>
      <c r="Z389" s="914"/>
    </row>
    <row r="390" spans="2:77">
      <c r="B390" s="758"/>
      <c r="C390" s="759"/>
      <c r="D390" s="759"/>
      <c r="E390" s="760"/>
      <c r="F390" s="761"/>
      <c r="G390" s="762"/>
      <c r="H390" s="763"/>
      <c r="I390" s="914"/>
      <c r="J390" s="914"/>
      <c r="K390" s="278"/>
      <c r="L390" s="301">
        <v>15</v>
      </c>
      <c r="M390" s="381" t="s">
        <v>1254</v>
      </c>
      <c r="N390" s="303" t="s">
        <v>1268</v>
      </c>
      <c r="O390" s="304"/>
      <c r="P390" s="452"/>
      <c r="Q390" s="475">
        <v>103599.12</v>
      </c>
      <c r="R390" s="888"/>
      <c r="S390" s="645"/>
      <c r="T390" s="824">
        <v>46203</v>
      </c>
      <c r="U390" s="542">
        <f t="shared" si="57"/>
        <v>55076.17906580009</v>
      </c>
      <c r="V390" s="926"/>
      <c r="W390" s="608">
        <v>46203</v>
      </c>
      <c r="X390" s="911"/>
      <c r="Y390" s="507"/>
      <c r="Z390" s="914"/>
    </row>
    <row r="391" spans="2:77">
      <c r="B391" s="758"/>
      <c r="C391" s="759"/>
      <c r="D391" s="759"/>
      <c r="E391" s="760"/>
      <c r="F391" s="761"/>
      <c r="G391" s="762"/>
      <c r="H391" s="763"/>
      <c r="I391" s="914"/>
      <c r="J391" s="914"/>
      <c r="K391" s="278"/>
      <c r="L391" s="301">
        <v>15</v>
      </c>
      <c r="M391" s="381" t="s">
        <v>1254</v>
      </c>
      <c r="N391" s="303" t="s">
        <v>1269</v>
      </c>
      <c r="O391" s="399"/>
      <c r="P391" s="437"/>
      <c r="Q391" s="485">
        <v>67693.119999999995</v>
      </c>
      <c r="R391" s="887"/>
      <c r="S391" s="646"/>
      <c r="T391" s="824">
        <v>46234</v>
      </c>
      <c r="U391" s="823">
        <f t="shared" si="57"/>
        <v>35987.548915885513</v>
      </c>
      <c r="V391" s="926"/>
      <c r="W391" s="608">
        <v>46234</v>
      </c>
      <c r="X391" s="911"/>
      <c r="Y391" s="507"/>
      <c r="Z391" s="914"/>
    </row>
    <row r="392" spans="2:77">
      <c r="B392" s="758"/>
      <c r="C392" s="759"/>
      <c r="D392" s="759"/>
      <c r="E392" s="760"/>
      <c r="F392" s="761"/>
      <c r="G392" s="762"/>
      <c r="H392" s="763"/>
      <c r="I392" s="914"/>
      <c r="J392" s="914"/>
      <c r="K392" s="278"/>
      <c r="L392" s="301">
        <v>15</v>
      </c>
      <c r="M392" s="381" t="s">
        <v>1254</v>
      </c>
      <c r="N392" s="303" t="s">
        <v>1270</v>
      </c>
      <c r="O392" s="399"/>
      <c r="P392" s="437"/>
      <c r="Q392" s="485">
        <v>27845.88</v>
      </c>
      <c r="R392" s="887"/>
      <c r="S392" s="646"/>
      <c r="T392" s="824">
        <v>46265</v>
      </c>
      <c r="U392" s="823">
        <f t="shared" si="57"/>
        <v>14803.645756110493</v>
      </c>
      <c r="V392" s="926"/>
      <c r="W392" s="608">
        <v>46265</v>
      </c>
      <c r="X392" s="911"/>
      <c r="Y392" s="507"/>
      <c r="Z392" s="914"/>
    </row>
    <row r="393" spans="2:77">
      <c r="B393" s="758"/>
      <c r="C393" s="759"/>
      <c r="D393" s="759"/>
      <c r="E393" s="760"/>
      <c r="F393" s="761"/>
      <c r="G393" s="762"/>
      <c r="H393" s="763"/>
      <c r="I393" s="914"/>
      <c r="J393" s="914"/>
      <c r="K393" s="278"/>
      <c r="L393" s="301">
        <v>15</v>
      </c>
      <c r="M393" s="381" t="s">
        <v>1254</v>
      </c>
      <c r="N393" s="379"/>
      <c r="O393" s="399"/>
      <c r="P393" s="437"/>
      <c r="Q393" s="485"/>
      <c r="R393" s="887"/>
      <c r="S393" s="646"/>
      <c r="T393" s="822"/>
      <c r="U393" s="542">
        <f t="shared" si="57"/>
        <v>0</v>
      </c>
      <c r="V393" s="926"/>
      <c r="W393" s="608"/>
      <c r="X393" s="911"/>
      <c r="Y393" s="507"/>
      <c r="Z393" s="914"/>
    </row>
    <row r="394" spans="2:77" ht="15" customHeight="1" thickBot="1">
      <c r="B394" s="306">
        <v>15</v>
      </c>
      <c r="C394" s="307"/>
      <c r="D394" s="307"/>
      <c r="E394" s="308"/>
      <c r="F394" s="453"/>
      <c r="G394" s="320"/>
      <c r="H394" s="695"/>
      <c r="I394" s="915"/>
      <c r="J394" s="915"/>
      <c r="K394" s="279"/>
      <c r="L394" s="306">
        <v>15</v>
      </c>
      <c r="M394" s="412" t="s">
        <v>1254</v>
      </c>
      <c r="N394" s="307"/>
      <c r="O394" s="308"/>
      <c r="P394" s="453"/>
      <c r="Q394" s="476"/>
      <c r="R394" s="895"/>
      <c r="S394" s="647"/>
      <c r="T394" s="552" t="str">
        <f t="shared" si="55"/>
        <v/>
      </c>
      <c r="U394" s="536">
        <f>(Q394/$X$372*$J$372)</f>
        <v>0</v>
      </c>
      <c r="V394" s="927"/>
      <c r="W394" s="609"/>
      <c r="X394" s="912"/>
      <c r="Y394" s="470"/>
      <c r="Z394" s="915"/>
    </row>
    <row r="395" spans="2:77" s="3" customFormat="1">
      <c r="B395" s="108"/>
      <c r="E395" s="4"/>
      <c r="F395" s="466"/>
      <c r="G395" s="5"/>
      <c r="H395" s="5"/>
      <c r="I395" s="337"/>
      <c r="J395" s="337"/>
      <c r="K395" s="337"/>
      <c r="M395" s="108"/>
      <c r="P395" s="4"/>
      <c r="Q395" s="466"/>
      <c r="R395" s="338"/>
      <c r="S395" s="338"/>
      <c r="T395" s="663"/>
      <c r="U395" s="338"/>
      <c r="V395" s="338"/>
      <c r="W395" s="338"/>
      <c r="X395" s="338"/>
      <c r="Y395" s="338"/>
    </row>
    <row r="396" spans="2:77">
      <c r="B396" s="111"/>
      <c r="C396" s="170" t="s">
        <v>1271</v>
      </c>
      <c r="D396" s="170">
        <v>1424578.6111111115</v>
      </c>
      <c r="E396" s="156"/>
      <c r="F396" s="457"/>
      <c r="G396" s="111"/>
      <c r="H396" s="111"/>
      <c r="I396" s="111"/>
      <c r="J396" s="111"/>
      <c r="BY396" s="111"/>
    </row>
    <row r="397" spans="2:77">
      <c r="B397" s="111"/>
      <c r="C397" s="170" t="s">
        <v>1272</v>
      </c>
      <c r="D397" s="170">
        <v>311111.11111111112</v>
      </c>
      <c r="E397" s="156"/>
      <c r="F397" s="457"/>
      <c r="G397" s="111"/>
      <c r="H397" s="111"/>
      <c r="I397" s="246"/>
      <c r="J397" s="246"/>
      <c r="K397" s="246"/>
      <c r="BY397" s="111"/>
    </row>
    <row r="398" spans="2:77">
      <c r="B398" s="111"/>
      <c r="C398" s="170" t="s">
        <v>1273</v>
      </c>
      <c r="D398" s="170">
        <v>194541.66666666666</v>
      </c>
      <c r="E398" s="156"/>
      <c r="F398" s="457"/>
      <c r="G398" s="111"/>
      <c r="H398" s="111"/>
      <c r="I398" s="339"/>
      <c r="J398" s="339"/>
      <c r="K398" s="339"/>
      <c r="BY398" s="111"/>
    </row>
    <row r="399" spans="2:77">
      <c r="B399" s="111"/>
      <c r="C399" s="170" t="s">
        <v>1012</v>
      </c>
      <c r="D399" s="170">
        <v>576677.22222222225</v>
      </c>
      <c r="E399" s="156"/>
      <c r="F399" s="457"/>
      <c r="G399" s="111"/>
      <c r="H399" s="111"/>
      <c r="I399" s="246"/>
      <c r="J399" s="246"/>
      <c r="K399" s="246"/>
      <c r="BY399" s="111"/>
    </row>
    <row r="400" spans="2:77">
      <c r="B400" s="111"/>
      <c r="C400" s="170" t="s">
        <v>1274</v>
      </c>
      <c r="D400" s="170">
        <v>521900.89855072461</v>
      </c>
      <c r="E400" s="156"/>
      <c r="F400" s="457"/>
      <c r="G400" s="111"/>
      <c r="H400" s="111"/>
      <c r="I400" s="339"/>
      <c r="J400" s="339"/>
      <c r="K400" s="339"/>
      <c r="BY400" s="111"/>
    </row>
    <row r="401" spans="2:77">
      <c r="B401" s="111"/>
      <c r="C401" s="170" t="s">
        <v>1275</v>
      </c>
      <c r="D401" s="170">
        <v>25555.555555555555</v>
      </c>
      <c r="E401" s="156"/>
      <c r="F401" s="457"/>
      <c r="G401" s="111"/>
      <c r="H401" s="111"/>
      <c r="I401" s="246"/>
      <c r="J401" s="246"/>
      <c r="K401" s="246"/>
      <c r="BY401" s="111"/>
    </row>
    <row r="402" spans="2:77">
      <c r="B402" s="111"/>
      <c r="C402" s="170" t="s">
        <v>1276</v>
      </c>
      <c r="D402" s="170">
        <v>0</v>
      </c>
      <c r="E402" s="156"/>
      <c r="F402" s="457"/>
      <c r="G402" s="111"/>
      <c r="H402" s="111"/>
      <c r="I402" s="246"/>
      <c r="J402" s="246"/>
      <c r="K402" s="246"/>
      <c r="BY402" s="111"/>
    </row>
    <row r="403" spans="2:77">
      <c r="B403" s="111"/>
      <c r="C403" s="170" t="s">
        <v>1277</v>
      </c>
      <c r="D403" s="170">
        <v>0</v>
      </c>
      <c r="E403" s="156"/>
      <c r="F403" s="457"/>
      <c r="G403" s="111"/>
      <c r="H403" s="111"/>
      <c r="I403" s="246"/>
      <c r="J403" s="246"/>
      <c r="K403" s="246"/>
      <c r="BY403" s="111"/>
    </row>
    <row r="404" spans="2:77">
      <c r="B404" s="111"/>
      <c r="C404" s="170" t="s">
        <v>1278</v>
      </c>
      <c r="D404" s="170">
        <v>190000</v>
      </c>
      <c r="E404" s="156"/>
      <c r="F404" s="457"/>
      <c r="G404" s="111"/>
      <c r="H404" s="111"/>
      <c r="I404" s="246"/>
      <c r="J404" s="246"/>
      <c r="K404" s="246"/>
      <c r="BY404" s="111"/>
    </row>
    <row r="405" spans="2:77">
      <c r="B405" s="111"/>
      <c r="C405" s="170" t="s">
        <v>1279</v>
      </c>
      <c r="D405" s="170">
        <v>0</v>
      </c>
      <c r="E405" s="156"/>
      <c r="F405" s="457"/>
      <c r="G405" s="111"/>
      <c r="H405" s="111"/>
      <c r="I405" s="246"/>
      <c r="J405" s="246"/>
      <c r="K405" s="246"/>
      <c r="BY405" s="111"/>
    </row>
    <row r="406" spans="2:77">
      <c r="B406" s="111"/>
      <c r="C406" s="170" t="s">
        <v>1280</v>
      </c>
      <c r="D406" s="170">
        <v>0</v>
      </c>
      <c r="E406" s="156"/>
      <c r="F406" s="457"/>
      <c r="G406" s="111"/>
      <c r="H406" s="111"/>
      <c r="I406" s="246"/>
      <c r="J406" s="246"/>
      <c r="K406" s="246"/>
      <c r="BY406" s="111"/>
    </row>
    <row r="407" spans="2:77">
      <c r="B407" s="111"/>
      <c r="C407" s="170" t="s">
        <v>1281</v>
      </c>
      <c r="D407" s="170"/>
      <c r="E407" s="156"/>
      <c r="F407" s="457"/>
      <c r="G407" s="111"/>
      <c r="H407" s="111"/>
      <c r="I407" s="246"/>
      <c r="J407" s="246"/>
      <c r="K407" s="246"/>
      <c r="BY407" s="111"/>
    </row>
    <row r="408" spans="2:77">
      <c r="B408" s="111"/>
      <c r="C408" s="170"/>
      <c r="D408" s="170"/>
      <c r="E408" s="156"/>
      <c r="F408" s="457"/>
      <c r="G408" s="111"/>
      <c r="H408" s="111"/>
      <c r="I408" s="246"/>
      <c r="J408" s="246"/>
      <c r="K408" s="246"/>
      <c r="BY408" s="111"/>
    </row>
    <row r="409" spans="2:77" s="111" customFormat="1">
      <c r="C409" s="170" t="s">
        <v>1282</v>
      </c>
      <c r="D409" s="170">
        <v>147132.35294117648</v>
      </c>
      <c r="E409" s="156"/>
      <c r="F409" s="457"/>
      <c r="I409" s="246"/>
      <c r="J409" s="246"/>
      <c r="K409" s="246"/>
      <c r="R409" s="246"/>
    </row>
    <row r="410" spans="2:77" s="111" customFormat="1">
      <c r="C410" s="170" t="s">
        <v>1283</v>
      </c>
      <c r="D410" s="170">
        <v>340323.5294117647</v>
      </c>
      <c r="E410" s="156"/>
      <c r="F410" s="457"/>
      <c r="I410" s="246"/>
      <c r="J410" s="246"/>
      <c r="K410" s="246"/>
      <c r="R410" s="246"/>
    </row>
    <row r="411" spans="2:77" s="111" customFormat="1">
      <c r="C411" s="170" t="s">
        <v>1284</v>
      </c>
      <c r="D411" s="170">
        <v>160142.95419548749</v>
      </c>
      <c r="E411" s="156"/>
      <c r="F411" s="457"/>
      <c r="I411" s="246"/>
      <c r="J411" s="246"/>
      <c r="K411" s="246"/>
      <c r="R411" s="246"/>
    </row>
    <row r="412" spans="2:77" s="111" customFormat="1">
      <c r="C412" s="170" t="s">
        <v>1285</v>
      </c>
      <c r="D412" s="170">
        <v>38242.647058823532</v>
      </c>
      <c r="E412" s="156"/>
      <c r="F412" s="457"/>
      <c r="I412" s="246"/>
      <c r="J412" s="246"/>
      <c r="K412" s="246"/>
      <c r="R412" s="246"/>
    </row>
    <row r="413" spans="2:77" s="111" customFormat="1">
      <c r="C413" s="170" t="s">
        <v>1286</v>
      </c>
      <c r="D413" s="170">
        <v>10000</v>
      </c>
      <c r="E413" s="156"/>
      <c r="F413" s="457"/>
      <c r="I413" s="246"/>
      <c r="J413" s="246"/>
      <c r="K413" s="246"/>
      <c r="R413" s="246"/>
    </row>
    <row r="414" spans="2:77" s="111" customFormat="1">
      <c r="C414" s="170" t="s">
        <v>1287</v>
      </c>
      <c r="D414" s="170">
        <v>0</v>
      </c>
      <c r="E414" s="156"/>
      <c r="F414" s="457"/>
      <c r="I414" s="246"/>
      <c r="J414" s="246"/>
      <c r="R414" s="246"/>
    </row>
    <row r="415" spans="2:77" s="111" customFormat="1">
      <c r="C415" s="170" t="s">
        <v>1288</v>
      </c>
      <c r="D415" s="170">
        <v>7254.9019607843129</v>
      </c>
      <c r="E415" s="156"/>
      <c r="F415" s="457"/>
      <c r="I415" s="246"/>
      <c r="J415" s="246"/>
      <c r="R415" s="246"/>
    </row>
    <row r="416" spans="2:77" s="111" customFormat="1">
      <c r="C416" s="170" t="s">
        <v>1289</v>
      </c>
      <c r="D416" s="170">
        <v>0</v>
      </c>
      <c r="E416" s="156"/>
      <c r="F416" s="457"/>
      <c r="I416" s="246"/>
      <c r="J416" s="246"/>
      <c r="R416" s="246"/>
    </row>
    <row r="417" spans="3:18" s="111" customFormat="1">
      <c r="C417" s="170" t="s">
        <v>1290</v>
      </c>
      <c r="D417" s="170">
        <v>37205.882352941175</v>
      </c>
      <c r="E417" s="156"/>
      <c r="F417" s="457"/>
      <c r="I417" s="246"/>
      <c r="J417" s="246"/>
      <c r="R417" s="246"/>
    </row>
    <row r="418" spans="3:18" s="111" customFormat="1">
      <c r="C418" s="170" t="s">
        <v>1291</v>
      </c>
      <c r="D418" s="170">
        <v>0</v>
      </c>
      <c r="E418" s="156"/>
      <c r="F418" s="457"/>
      <c r="I418" s="246"/>
      <c r="J418" s="246"/>
      <c r="R418" s="246"/>
    </row>
    <row r="419" spans="3:18" s="111" customFormat="1">
      <c r="C419" s="170" t="s">
        <v>1278</v>
      </c>
      <c r="D419" s="170">
        <v>0</v>
      </c>
      <c r="E419" s="156"/>
      <c r="F419" s="457"/>
      <c r="I419" s="246"/>
      <c r="J419" s="246"/>
      <c r="R419" s="246"/>
    </row>
    <row r="420" spans="3:18" s="111" customFormat="1">
      <c r="C420" s="170"/>
      <c r="D420" s="170"/>
      <c r="E420" s="156"/>
      <c r="F420" s="457"/>
      <c r="I420" s="246"/>
      <c r="J420" s="246"/>
      <c r="R420" s="246"/>
    </row>
    <row r="421" spans="3:18" s="111" customFormat="1">
      <c r="C421" s="170" t="s">
        <v>1292</v>
      </c>
      <c r="D421" s="170"/>
      <c r="E421" s="156"/>
      <c r="F421" s="457"/>
      <c r="I421" s="246"/>
      <c r="J421" s="246"/>
      <c r="R421" s="246"/>
    </row>
    <row r="422" spans="3:18" s="111" customFormat="1">
      <c r="C422" s="170" t="s">
        <v>1293</v>
      </c>
      <c r="D422" s="170">
        <v>10294.117647058823</v>
      </c>
      <c r="E422" s="156"/>
      <c r="F422" s="457"/>
      <c r="I422" s="246"/>
      <c r="J422" s="246"/>
      <c r="R422" s="246"/>
    </row>
    <row r="423" spans="3:18" s="111" customFormat="1">
      <c r="E423" s="156"/>
      <c r="F423" s="457"/>
      <c r="I423" s="246"/>
      <c r="J423" s="246"/>
      <c r="R423" s="246"/>
    </row>
    <row r="424" spans="3:18" s="111" customFormat="1">
      <c r="E424" s="156"/>
      <c r="F424" s="457"/>
      <c r="I424" s="246"/>
      <c r="J424" s="246"/>
      <c r="R424" s="246"/>
    </row>
    <row r="425" spans="3:18" s="111" customFormat="1">
      <c r="E425" s="156"/>
      <c r="F425" s="457"/>
      <c r="I425" s="246"/>
      <c r="J425" s="246"/>
      <c r="R425" s="246"/>
    </row>
    <row r="426" spans="3:18" s="111" customFormat="1">
      <c r="E426" s="156"/>
      <c r="F426" s="457"/>
      <c r="I426" s="246"/>
      <c r="J426" s="246"/>
      <c r="R426" s="246"/>
    </row>
    <row r="427" spans="3:18" s="111" customFormat="1">
      <c r="E427" s="156"/>
      <c r="F427" s="457"/>
      <c r="I427" s="246"/>
      <c r="J427" s="246"/>
      <c r="R427" s="246"/>
    </row>
    <row r="428" spans="3:18" s="111" customFormat="1">
      <c r="E428" s="156"/>
      <c r="F428" s="457"/>
      <c r="I428" s="246"/>
      <c r="J428" s="246"/>
      <c r="R428" s="246"/>
    </row>
    <row r="429" spans="3:18" s="111" customFormat="1">
      <c r="E429" s="156"/>
      <c r="F429" s="457"/>
      <c r="I429" s="246"/>
      <c r="J429" s="246"/>
      <c r="R429" s="246"/>
    </row>
    <row r="430" spans="3:18" s="111" customFormat="1">
      <c r="E430" s="156"/>
      <c r="F430" s="457"/>
      <c r="I430" s="246"/>
      <c r="J430" s="246"/>
      <c r="R430" s="246"/>
    </row>
    <row r="431" spans="3:18" s="111" customFormat="1">
      <c r="E431" s="156"/>
      <c r="F431" s="457"/>
      <c r="I431" s="246"/>
      <c r="J431" s="246"/>
      <c r="R431" s="246"/>
    </row>
    <row r="432" spans="3:18" s="111" customFormat="1">
      <c r="E432" s="156"/>
      <c r="F432" s="457"/>
      <c r="I432" s="246"/>
      <c r="J432" s="246"/>
      <c r="R432" s="246"/>
    </row>
    <row r="433" spans="5:18" s="111" customFormat="1">
      <c r="E433" s="156"/>
      <c r="F433" s="457"/>
      <c r="I433" s="246"/>
      <c r="J433" s="246"/>
      <c r="R433" s="246"/>
    </row>
    <row r="434" spans="5:18" s="111" customFormat="1">
      <c r="E434" s="156"/>
      <c r="F434" s="457"/>
      <c r="I434" s="246"/>
      <c r="J434" s="246"/>
      <c r="R434" s="246"/>
    </row>
    <row r="435" spans="5:18" s="111" customFormat="1">
      <c r="E435" s="156"/>
      <c r="F435" s="457"/>
      <c r="I435" s="246"/>
      <c r="J435" s="246"/>
      <c r="R435" s="246"/>
    </row>
    <row r="436" spans="5:18" s="111" customFormat="1">
      <c r="E436" s="156"/>
      <c r="F436" s="457"/>
      <c r="I436" s="246"/>
      <c r="J436" s="246"/>
      <c r="R436" s="246"/>
    </row>
    <row r="437" spans="5:18" s="111" customFormat="1">
      <c r="E437" s="156"/>
      <c r="F437" s="457"/>
      <c r="I437" s="246"/>
      <c r="J437" s="246"/>
      <c r="R437" s="246"/>
    </row>
    <row r="438" spans="5:18" s="111" customFormat="1">
      <c r="E438" s="156"/>
      <c r="F438" s="457"/>
      <c r="I438" s="246"/>
      <c r="J438" s="246"/>
      <c r="R438" s="246"/>
    </row>
    <row r="439" spans="5:18" s="111" customFormat="1">
      <c r="E439" s="156"/>
      <c r="F439" s="457"/>
      <c r="I439" s="246"/>
      <c r="J439" s="246"/>
      <c r="R439" s="246"/>
    </row>
    <row r="440" spans="5:18" s="111" customFormat="1">
      <c r="E440" s="156"/>
      <c r="F440" s="457"/>
      <c r="I440" s="246"/>
      <c r="J440" s="246"/>
      <c r="R440" s="246"/>
    </row>
    <row r="441" spans="5:18" s="111" customFormat="1">
      <c r="E441" s="156"/>
      <c r="F441" s="457"/>
      <c r="I441" s="246"/>
      <c r="J441" s="246"/>
      <c r="R441" s="246"/>
    </row>
    <row r="442" spans="5:18" s="111" customFormat="1">
      <c r="E442" s="156"/>
      <c r="F442" s="457"/>
      <c r="I442" s="246"/>
      <c r="J442" s="246"/>
      <c r="R442" s="246"/>
    </row>
    <row r="443" spans="5:18" s="111" customFormat="1">
      <c r="E443" s="156"/>
      <c r="F443" s="457"/>
      <c r="I443" s="246"/>
      <c r="J443" s="246"/>
      <c r="R443" s="246"/>
    </row>
    <row r="444" spans="5:18" s="111" customFormat="1">
      <c r="E444" s="156"/>
      <c r="F444" s="457"/>
      <c r="I444" s="246"/>
      <c r="J444" s="246"/>
      <c r="R444" s="246"/>
    </row>
    <row r="445" spans="5:18" s="111" customFormat="1">
      <c r="E445" s="156"/>
      <c r="F445" s="457"/>
      <c r="I445" s="246"/>
      <c r="J445" s="246"/>
      <c r="R445" s="246"/>
    </row>
    <row r="446" spans="5:18" s="111" customFormat="1">
      <c r="E446" s="156"/>
      <c r="F446" s="457"/>
      <c r="I446" s="246"/>
      <c r="J446" s="246"/>
      <c r="R446" s="246"/>
    </row>
    <row r="447" spans="5:18" s="111" customFormat="1">
      <c r="E447" s="156"/>
      <c r="F447" s="457"/>
      <c r="I447" s="246"/>
      <c r="J447" s="246"/>
      <c r="R447" s="246"/>
    </row>
    <row r="448" spans="5:18" s="111" customFormat="1">
      <c r="E448" s="156"/>
      <c r="F448" s="457"/>
      <c r="I448" s="246"/>
      <c r="J448" s="246"/>
      <c r="R448" s="246"/>
    </row>
    <row r="449" spans="5:18" s="111" customFormat="1">
      <c r="E449" s="156"/>
      <c r="F449" s="457"/>
      <c r="I449" s="246"/>
      <c r="J449" s="246"/>
      <c r="R449" s="246"/>
    </row>
    <row r="450" spans="5:18" s="111" customFormat="1">
      <c r="E450" s="156"/>
      <c r="F450" s="457"/>
      <c r="I450" s="246"/>
      <c r="J450" s="246"/>
      <c r="R450" s="246"/>
    </row>
    <row r="451" spans="5:18" s="111" customFormat="1">
      <c r="E451" s="156"/>
      <c r="F451" s="457"/>
      <c r="I451" s="246"/>
      <c r="J451" s="246"/>
      <c r="R451" s="246"/>
    </row>
    <row r="452" spans="5:18" s="111" customFormat="1">
      <c r="E452" s="156"/>
      <c r="F452" s="457"/>
      <c r="I452" s="246"/>
      <c r="J452" s="246"/>
      <c r="R452" s="246"/>
    </row>
    <row r="453" spans="5:18" s="111" customFormat="1">
      <c r="E453" s="156"/>
      <c r="F453" s="457"/>
      <c r="I453" s="246"/>
      <c r="J453" s="246"/>
      <c r="R453" s="246"/>
    </row>
    <row r="454" spans="5:18" s="111" customFormat="1">
      <c r="E454" s="156"/>
      <c r="F454" s="457"/>
      <c r="I454" s="246"/>
      <c r="J454" s="246"/>
      <c r="R454" s="246"/>
    </row>
    <row r="455" spans="5:18" s="111" customFormat="1">
      <c r="E455" s="156"/>
      <c r="F455" s="457"/>
      <c r="I455" s="246"/>
      <c r="J455" s="246"/>
      <c r="R455" s="246"/>
    </row>
    <row r="456" spans="5:18" s="111" customFormat="1">
      <c r="E456" s="156"/>
      <c r="F456" s="457"/>
      <c r="I456" s="246"/>
      <c r="J456" s="246"/>
      <c r="R456" s="246"/>
    </row>
    <row r="457" spans="5:18" s="111" customFormat="1">
      <c r="E457" s="156"/>
      <c r="F457" s="457"/>
      <c r="I457" s="246"/>
      <c r="J457" s="246"/>
      <c r="R457" s="246"/>
    </row>
    <row r="458" spans="5:18" s="111" customFormat="1">
      <c r="E458" s="156"/>
      <c r="F458" s="457"/>
      <c r="I458" s="246"/>
      <c r="J458" s="246"/>
      <c r="R458" s="246"/>
    </row>
    <row r="459" spans="5:18" s="111" customFormat="1">
      <c r="E459" s="156"/>
      <c r="F459" s="457"/>
      <c r="I459" s="246"/>
      <c r="J459" s="246"/>
      <c r="R459" s="246"/>
    </row>
    <row r="460" spans="5:18" s="111" customFormat="1">
      <c r="E460" s="156"/>
      <c r="F460" s="457"/>
      <c r="I460" s="246"/>
      <c r="J460" s="246"/>
      <c r="R460" s="246"/>
    </row>
    <row r="461" spans="5:18" s="111" customFormat="1">
      <c r="E461" s="156"/>
      <c r="F461" s="457"/>
      <c r="I461" s="246"/>
      <c r="J461" s="246"/>
      <c r="R461" s="246"/>
    </row>
    <row r="462" spans="5:18" s="111" customFormat="1">
      <c r="E462" s="156"/>
      <c r="F462" s="457"/>
      <c r="I462" s="246"/>
      <c r="J462" s="246"/>
      <c r="R462" s="246"/>
    </row>
    <row r="463" spans="5:18" s="111" customFormat="1">
      <c r="E463" s="156"/>
      <c r="F463" s="457"/>
      <c r="I463" s="246"/>
      <c r="J463" s="246"/>
      <c r="R463" s="246"/>
    </row>
    <row r="464" spans="5:18" s="111" customFormat="1">
      <c r="E464" s="156"/>
      <c r="F464" s="457"/>
      <c r="I464" s="246"/>
      <c r="J464" s="246"/>
      <c r="R464" s="246"/>
    </row>
    <row r="465" spans="5:18" s="111" customFormat="1">
      <c r="E465" s="156"/>
      <c r="F465" s="457"/>
      <c r="I465" s="246"/>
      <c r="J465" s="246"/>
      <c r="R465" s="246"/>
    </row>
    <row r="466" spans="5:18" s="111" customFormat="1">
      <c r="E466" s="156"/>
      <c r="F466" s="457"/>
      <c r="I466" s="246"/>
      <c r="J466" s="246"/>
      <c r="R466" s="246"/>
    </row>
    <row r="467" spans="5:18" s="111" customFormat="1">
      <c r="E467" s="156"/>
      <c r="F467" s="457"/>
      <c r="I467" s="246"/>
      <c r="J467" s="246"/>
      <c r="R467" s="246"/>
    </row>
    <row r="468" spans="5:18" s="111" customFormat="1">
      <c r="E468" s="156"/>
      <c r="F468" s="457"/>
      <c r="I468" s="246"/>
      <c r="J468" s="246"/>
      <c r="R468" s="246"/>
    </row>
    <row r="469" spans="5:18" s="111" customFormat="1">
      <c r="E469" s="156"/>
      <c r="F469" s="457"/>
      <c r="I469" s="246"/>
      <c r="J469" s="246"/>
      <c r="R469" s="246"/>
    </row>
    <row r="470" spans="5:18" s="111" customFormat="1">
      <c r="E470" s="156"/>
      <c r="F470" s="457"/>
      <c r="I470" s="246"/>
      <c r="J470" s="246"/>
      <c r="R470" s="246"/>
    </row>
    <row r="471" spans="5:18" s="111" customFormat="1">
      <c r="E471" s="156"/>
      <c r="F471" s="457"/>
      <c r="I471" s="246"/>
      <c r="J471" s="246"/>
      <c r="R471" s="246"/>
    </row>
    <row r="472" spans="5:18" s="111" customFormat="1">
      <c r="E472" s="156"/>
      <c r="F472" s="457"/>
      <c r="I472" s="246"/>
      <c r="J472" s="246"/>
      <c r="R472" s="246"/>
    </row>
    <row r="473" spans="5:18" s="111" customFormat="1">
      <c r="E473" s="156"/>
      <c r="F473" s="457"/>
      <c r="I473" s="246"/>
      <c r="J473" s="246"/>
      <c r="R473" s="246"/>
    </row>
    <row r="474" spans="5:18" s="111" customFormat="1">
      <c r="E474" s="156"/>
      <c r="F474" s="457"/>
      <c r="I474" s="246"/>
      <c r="J474" s="246"/>
      <c r="R474" s="246"/>
    </row>
    <row r="475" spans="5:18" s="111" customFormat="1">
      <c r="E475" s="156"/>
      <c r="F475" s="457"/>
      <c r="I475" s="246"/>
      <c r="J475" s="246"/>
      <c r="R475" s="246"/>
    </row>
    <row r="476" spans="5:18" s="111" customFormat="1">
      <c r="E476" s="156"/>
      <c r="F476" s="457"/>
      <c r="I476" s="246"/>
      <c r="J476" s="246"/>
      <c r="R476" s="246"/>
    </row>
    <row r="477" spans="5:18" s="111" customFormat="1">
      <c r="E477" s="156"/>
      <c r="F477" s="457"/>
      <c r="I477" s="246"/>
      <c r="J477" s="246"/>
      <c r="R477" s="246"/>
    </row>
    <row r="478" spans="5:18" s="111" customFormat="1">
      <c r="E478" s="156"/>
      <c r="F478" s="457"/>
      <c r="I478" s="246"/>
      <c r="J478" s="246"/>
      <c r="R478" s="246"/>
    </row>
    <row r="479" spans="5:18" s="111" customFormat="1">
      <c r="E479" s="156"/>
      <c r="F479" s="457"/>
      <c r="I479" s="246"/>
      <c r="J479" s="246"/>
      <c r="R479" s="246"/>
    </row>
    <row r="480" spans="5:18" s="111" customFormat="1">
      <c r="E480" s="156"/>
      <c r="F480" s="457"/>
      <c r="I480" s="246"/>
      <c r="J480" s="246"/>
      <c r="R480" s="246"/>
    </row>
    <row r="481" spans="5:18" s="111" customFormat="1">
      <c r="E481" s="156"/>
      <c r="F481" s="457"/>
      <c r="I481" s="246"/>
      <c r="J481" s="246"/>
      <c r="R481" s="246"/>
    </row>
    <row r="482" spans="5:18" s="111" customFormat="1">
      <c r="E482" s="156"/>
      <c r="F482" s="457"/>
      <c r="I482" s="246"/>
      <c r="J482" s="246"/>
      <c r="R482" s="246"/>
    </row>
    <row r="483" spans="5:18" s="111" customFormat="1">
      <c r="E483" s="156"/>
      <c r="F483" s="457"/>
      <c r="I483" s="246"/>
      <c r="J483" s="246"/>
      <c r="R483" s="246"/>
    </row>
    <row r="484" spans="5:18" s="111" customFormat="1">
      <c r="E484" s="156"/>
      <c r="F484" s="457"/>
      <c r="I484" s="246"/>
      <c r="J484" s="246"/>
      <c r="R484" s="246"/>
    </row>
    <row r="485" spans="5:18" s="111" customFormat="1">
      <c r="E485" s="156"/>
      <c r="F485" s="457"/>
      <c r="I485" s="246"/>
      <c r="J485" s="246"/>
      <c r="R485" s="246"/>
    </row>
    <row r="486" spans="5:18" s="111" customFormat="1">
      <c r="E486" s="156"/>
      <c r="F486" s="457"/>
      <c r="I486" s="246"/>
      <c r="J486" s="246"/>
      <c r="R486" s="246"/>
    </row>
    <row r="487" spans="5:18" s="111" customFormat="1">
      <c r="E487" s="156"/>
      <c r="F487" s="457"/>
      <c r="I487" s="246"/>
      <c r="J487" s="246"/>
      <c r="R487" s="246"/>
    </row>
    <row r="488" spans="5:18" s="111" customFormat="1">
      <c r="E488" s="156"/>
      <c r="F488" s="457"/>
      <c r="I488" s="246"/>
      <c r="J488" s="246"/>
      <c r="R488" s="246"/>
    </row>
    <row r="489" spans="5:18" s="111" customFormat="1">
      <c r="E489" s="156"/>
      <c r="F489" s="457"/>
      <c r="I489" s="246"/>
      <c r="J489" s="246"/>
      <c r="R489" s="246"/>
    </row>
    <row r="490" spans="5:18" s="111" customFormat="1">
      <c r="E490" s="156"/>
      <c r="F490" s="457"/>
      <c r="I490" s="246"/>
      <c r="J490" s="246"/>
      <c r="R490" s="246"/>
    </row>
    <row r="491" spans="5:18" s="111" customFormat="1">
      <c r="E491" s="156"/>
      <c r="F491" s="457"/>
      <c r="I491" s="246"/>
      <c r="J491" s="246"/>
      <c r="R491" s="246"/>
    </row>
    <row r="492" spans="5:18" s="111" customFormat="1">
      <c r="E492" s="156"/>
      <c r="F492" s="457"/>
      <c r="I492" s="246"/>
      <c r="J492" s="246"/>
      <c r="R492" s="246"/>
    </row>
    <row r="493" spans="5:18" s="111" customFormat="1">
      <c r="E493" s="156"/>
      <c r="F493" s="457"/>
      <c r="I493" s="246"/>
      <c r="J493" s="246"/>
      <c r="R493" s="246"/>
    </row>
    <row r="494" spans="5:18" s="111" customFormat="1">
      <c r="E494" s="156"/>
      <c r="F494" s="457"/>
      <c r="I494" s="246"/>
      <c r="J494" s="246"/>
      <c r="R494" s="246"/>
    </row>
    <row r="495" spans="5:18" s="111" customFormat="1">
      <c r="E495" s="156"/>
      <c r="F495" s="457"/>
      <c r="I495" s="246"/>
      <c r="J495" s="246"/>
      <c r="R495" s="246"/>
    </row>
    <row r="496" spans="5:18" s="111" customFormat="1">
      <c r="E496" s="156"/>
      <c r="F496" s="457"/>
      <c r="I496" s="246"/>
      <c r="J496" s="246"/>
      <c r="R496" s="246"/>
    </row>
    <row r="497" spans="5:18" s="111" customFormat="1">
      <c r="E497" s="156"/>
      <c r="F497" s="457"/>
      <c r="I497" s="246"/>
      <c r="J497" s="246"/>
      <c r="R497" s="246"/>
    </row>
    <row r="498" spans="5:18" s="111" customFormat="1">
      <c r="E498" s="156"/>
      <c r="F498" s="457"/>
      <c r="I498" s="246"/>
      <c r="J498" s="246"/>
      <c r="R498" s="246"/>
    </row>
    <row r="499" spans="5:18" s="111" customFormat="1">
      <c r="E499" s="156"/>
      <c r="F499" s="457"/>
      <c r="I499" s="246"/>
      <c r="J499" s="246"/>
      <c r="R499" s="246"/>
    </row>
    <row r="500" spans="5:18" s="111" customFormat="1">
      <c r="E500" s="156"/>
      <c r="F500" s="457"/>
      <c r="I500" s="246"/>
      <c r="J500" s="246"/>
      <c r="R500" s="246"/>
    </row>
    <row r="501" spans="5:18" s="111" customFormat="1">
      <c r="E501" s="156"/>
      <c r="F501" s="457"/>
      <c r="I501" s="246"/>
      <c r="J501" s="246"/>
      <c r="R501" s="246"/>
    </row>
    <row r="502" spans="5:18" s="111" customFormat="1">
      <c r="E502" s="156"/>
      <c r="F502" s="457"/>
      <c r="I502" s="246"/>
      <c r="J502" s="246"/>
      <c r="R502" s="246"/>
    </row>
    <row r="503" spans="5:18" s="111" customFormat="1">
      <c r="E503" s="156"/>
      <c r="F503" s="457"/>
      <c r="I503" s="246"/>
      <c r="J503" s="246"/>
      <c r="R503" s="246"/>
    </row>
    <row r="504" spans="5:18" s="111" customFormat="1">
      <c r="E504" s="156"/>
      <c r="F504" s="457"/>
      <c r="I504" s="246"/>
      <c r="J504" s="246"/>
      <c r="R504" s="246"/>
    </row>
    <row r="505" spans="5:18" s="111" customFormat="1">
      <c r="E505" s="156"/>
      <c r="F505" s="457"/>
      <c r="I505" s="246"/>
      <c r="J505" s="246"/>
      <c r="R505" s="246"/>
    </row>
    <row r="506" spans="5:18" s="111" customFormat="1">
      <c r="E506" s="156"/>
      <c r="F506" s="457"/>
      <c r="I506" s="246"/>
      <c r="J506" s="246"/>
      <c r="R506" s="246"/>
    </row>
    <row r="507" spans="5:18" s="111" customFormat="1">
      <c r="E507" s="156"/>
      <c r="F507" s="457"/>
      <c r="I507" s="246"/>
      <c r="J507" s="246"/>
      <c r="R507" s="246"/>
    </row>
    <row r="508" spans="5:18" s="111" customFormat="1">
      <c r="E508" s="156"/>
      <c r="F508" s="457"/>
      <c r="I508" s="246"/>
      <c r="J508" s="246"/>
      <c r="R508" s="246"/>
    </row>
    <row r="509" spans="5:18" s="111" customFormat="1">
      <c r="E509" s="156"/>
      <c r="F509" s="457"/>
      <c r="I509" s="246"/>
      <c r="J509" s="246"/>
      <c r="R509" s="246"/>
    </row>
    <row r="510" spans="5:18" s="111" customFormat="1">
      <c r="E510" s="156"/>
      <c r="F510" s="457"/>
      <c r="I510" s="246"/>
      <c r="J510" s="246"/>
      <c r="R510" s="246"/>
    </row>
    <row r="511" spans="5:18" s="111" customFormat="1">
      <c r="E511" s="156"/>
      <c r="F511" s="457"/>
      <c r="I511" s="246"/>
      <c r="J511" s="246"/>
      <c r="R511" s="246"/>
    </row>
    <row r="512" spans="5:18" s="111" customFormat="1">
      <c r="E512" s="156"/>
      <c r="F512" s="457"/>
      <c r="I512" s="246"/>
      <c r="J512" s="246"/>
      <c r="R512" s="246"/>
    </row>
    <row r="513" spans="5:18" s="111" customFormat="1">
      <c r="E513" s="156"/>
      <c r="F513" s="457"/>
      <c r="I513" s="246"/>
      <c r="J513" s="246"/>
      <c r="R513" s="246"/>
    </row>
    <row r="514" spans="5:18" s="111" customFormat="1">
      <c r="E514" s="156"/>
      <c r="F514" s="457"/>
      <c r="I514" s="246"/>
      <c r="J514" s="246"/>
      <c r="R514" s="246"/>
    </row>
    <row r="515" spans="5:18" s="111" customFormat="1">
      <c r="E515" s="156"/>
      <c r="F515" s="457"/>
      <c r="I515" s="246"/>
      <c r="J515" s="246"/>
      <c r="R515" s="246"/>
    </row>
    <row r="516" spans="5:18" s="111" customFormat="1">
      <c r="E516" s="156"/>
      <c r="F516" s="457"/>
      <c r="I516" s="246"/>
      <c r="J516" s="246"/>
      <c r="R516" s="246"/>
    </row>
    <row r="517" spans="5:18" s="111" customFormat="1">
      <c r="E517" s="156"/>
      <c r="F517" s="457"/>
      <c r="I517" s="246"/>
      <c r="J517" s="246"/>
      <c r="R517" s="246"/>
    </row>
    <row r="518" spans="5:18" s="111" customFormat="1">
      <c r="E518" s="156"/>
      <c r="F518" s="457"/>
      <c r="I518" s="246"/>
      <c r="J518" s="246"/>
      <c r="R518" s="246"/>
    </row>
    <row r="519" spans="5:18" s="111" customFormat="1">
      <c r="E519" s="156"/>
      <c r="F519" s="457"/>
      <c r="I519" s="246"/>
      <c r="J519" s="246"/>
      <c r="R519" s="246"/>
    </row>
    <row r="520" spans="5:18" s="111" customFormat="1">
      <c r="E520" s="156"/>
      <c r="F520" s="457"/>
      <c r="I520" s="246"/>
      <c r="J520" s="246"/>
      <c r="R520" s="246"/>
    </row>
    <row r="521" spans="5:18" s="111" customFormat="1">
      <c r="E521" s="156"/>
      <c r="F521" s="457"/>
      <c r="I521" s="246"/>
      <c r="J521" s="246"/>
      <c r="R521" s="246"/>
    </row>
    <row r="522" spans="5:18" s="111" customFormat="1">
      <c r="E522" s="156"/>
      <c r="F522" s="457"/>
      <c r="I522" s="246"/>
      <c r="J522" s="246"/>
      <c r="R522" s="246"/>
    </row>
    <row r="523" spans="5:18" s="111" customFormat="1">
      <c r="E523" s="156"/>
      <c r="F523" s="457"/>
      <c r="I523" s="246"/>
      <c r="J523" s="246"/>
      <c r="R523" s="246"/>
    </row>
    <row r="524" spans="5:18" s="111" customFormat="1">
      <c r="E524" s="156"/>
      <c r="F524" s="457"/>
      <c r="I524" s="246"/>
      <c r="J524" s="246"/>
      <c r="R524" s="246"/>
    </row>
    <row r="525" spans="5:18" s="111" customFormat="1">
      <c r="E525" s="156"/>
      <c r="F525" s="457"/>
      <c r="I525" s="246"/>
      <c r="J525" s="246"/>
      <c r="R525" s="246"/>
    </row>
    <row r="526" spans="5:18" s="111" customFormat="1">
      <c r="E526" s="156"/>
      <c r="F526" s="457"/>
      <c r="I526" s="246"/>
      <c r="J526" s="246"/>
      <c r="R526" s="246"/>
    </row>
    <row r="527" spans="5:18" s="111" customFormat="1">
      <c r="E527" s="156"/>
      <c r="F527" s="457"/>
      <c r="I527" s="246"/>
      <c r="J527" s="246"/>
      <c r="R527" s="246"/>
    </row>
    <row r="528" spans="5:18" s="111" customFormat="1">
      <c r="E528" s="156"/>
      <c r="F528" s="457"/>
      <c r="I528" s="246"/>
      <c r="J528" s="246"/>
      <c r="R528" s="246"/>
    </row>
    <row r="529" spans="5:18" s="111" customFormat="1">
      <c r="E529" s="156"/>
      <c r="F529" s="457"/>
      <c r="I529" s="246"/>
      <c r="J529" s="246"/>
      <c r="R529" s="246"/>
    </row>
    <row r="530" spans="5:18" s="111" customFormat="1">
      <c r="E530" s="156"/>
      <c r="F530" s="457"/>
      <c r="I530" s="246"/>
      <c r="J530" s="246"/>
      <c r="R530" s="246"/>
    </row>
    <row r="531" spans="5:18" s="111" customFormat="1">
      <c r="E531" s="156"/>
      <c r="F531" s="457"/>
      <c r="I531" s="246"/>
      <c r="J531" s="246"/>
      <c r="R531" s="246"/>
    </row>
    <row r="532" spans="5:18" s="111" customFormat="1">
      <c r="E532" s="156"/>
      <c r="F532" s="457"/>
      <c r="I532" s="246"/>
      <c r="J532" s="246"/>
      <c r="R532" s="246"/>
    </row>
    <row r="533" spans="5:18" s="111" customFormat="1">
      <c r="E533" s="156"/>
      <c r="F533" s="457"/>
      <c r="I533" s="246"/>
      <c r="J533" s="246"/>
      <c r="R533" s="246"/>
    </row>
    <row r="534" spans="5:18" s="111" customFormat="1">
      <c r="E534" s="156"/>
      <c r="F534" s="457"/>
      <c r="I534" s="246"/>
      <c r="J534" s="246"/>
      <c r="R534" s="246"/>
    </row>
    <row r="535" spans="5:18" s="111" customFormat="1">
      <c r="E535" s="156"/>
      <c r="F535" s="457"/>
      <c r="I535" s="246"/>
      <c r="J535" s="246"/>
      <c r="R535" s="246"/>
    </row>
    <row r="536" spans="5:18" s="111" customFormat="1">
      <c r="E536" s="156"/>
      <c r="F536" s="457"/>
      <c r="I536" s="246"/>
      <c r="J536" s="246"/>
      <c r="R536" s="246"/>
    </row>
    <row r="537" spans="5:18" s="111" customFormat="1">
      <c r="E537" s="156"/>
      <c r="F537" s="457"/>
      <c r="I537" s="246"/>
      <c r="J537" s="246"/>
      <c r="R537" s="246"/>
    </row>
    <row r="538" spans="5:18" s="111" customFormat="1">
      <c r="E538" s="156"/>
      <c r="F538" s="457"/>
      <c r="I538" s="246"/>
      <c r="J538" s="246"/>
      <c r="R538" s="246"/>
    </row>
    <row r="539" spans="5:18" s="111" customFormat="1">
      <c r="E539" s="156"/>
      <c r="F539" s="457"/>
      <c r="I539" s="246"/>
      <c r="J539" s="246"/>
      <c r="R539" s="246"/>
    </row>
    <row r="540" spans="5:18" s="111" customFormat="1">
      <c r="E540" s="156"/>
      <c r="F540" s="457"/>
      <c r="I540" s="246"/>
      <c r="J540" s="246"/>
      <c r="R540" s="246"/>
    </row>
    <row r="541" spans="5:18" s="111" customFormat="1">
      <c r="E541" s="156"/>
      <c r="F541" s="457"/>
      <c r="I541" s="246"/>
      <c r="J541" s="246"/>
      <c r="R541" s="246"/>
    </row>
    <row r="542" spans="5:18" s="111" customFormat="1">
      <c r="E542" s="156"/>
      <c r="F542" s="457"/>
      <c r="I542" s="246"/>
      <c r="J542" s="246"/>
      <c r="R542" s="246"/>
    </row>
    <row r="543" spans="5:18" s="111" customFormat="1">
      <c r="E543" s="156"/>
      <c r="F543" s="457"/>
      <c r="I543" s="246"/>
      <c r="J543" s="246"/>
      <c r="R543" s="246"/>
    </row>
    <row r="544" spans="5:18" s="111" customFormat="1">
      <c r="E544" s="156"/>
      <c r="F544" s="457"/>
      <c r="I544" s="246"/>
      <c r="J544" s="246"/>
      <c r="R544" s="246"/>
    </row>
    <row r="545" spans="5:18" s="111" customFormat="1">
      <c r="E545" s="156"/>
      <c r="F545" s="457"/>
      <c r="I545" s="246"/>
      <c r="J545" s="246"/>
      <c r="R545" s="246"/>
    </row>
    <row r="546" spans="5:18" s="111" customFormat="1">
      <c r="E546" s="156"/>
      <c r="F546" s="457"/>
      <c r="I546" s="246"/>
      <c r="J546" s="246"/>
      <c r="R546" s="246"/>
    </row>
    <row r="547" spans="5:18" s="111" customFormat="1">
      <c r="E547" s="156"/>
      <c r="F547" s="457"/>
      <c r="I547" s="246"/>
      <c r="J547" s="246"/>
      <c r="R547" s="246"/>
    </row>
    <row r="548" spans="5:18" s="111" customFormat="1">
      <c r="E548" s="156"/>
      <c r="F548" s="457"/>
      <c r="I548" s="246"/>
      <c r="J548" s="246"/>
      <c r="R548" s="246"/>
    </row>
    <row r="549" spans="5:18" s="111" customFormat="1">
      <c r="E549" s="156"/>
      <c r="F549" s="457"/>
      <c r="I549" s="246"/>
      <c r="J549" s="246"/>
      <c r="R549" s="246"/>
    </row>
    <row r="550" spans="5:18" s="111" customFormat="1">
      <c r="E550" s="156"/>
      <c r="F550" s="457"/>
      <c r="I550" s="246"/>
      <c r="J550" s="246"/>
      <c r="R550" s="246"/>
    </row>
    <row r="551" spans="5:18" s="111" customFormat="1">
      <c r="E551" s="156"/>
      <c r="F551" s="457"/>
      <c r="I551" s="246"/>
      <c r="J551" s="246"/>
      <c r="R551" s="246"/>
    </row>
    <row r="552" spans="5:18" s="111" customFormat="1">
      <c r="E552" s="156"/>
      <c r="F552" s="457"/>
      <c r="I552" s="246"/>
      <c r="J552" s="246"/>
      <c r="R552" s="246"/>
    </row>
    <row r="553" spans="5:18" s="111" customFormat="1">
      <c r="E553" s="156"/>
      <c r="F553" s="457"/>
      <c r="I553" s="246"/>
      <c r="J553" s="246"/>
      <c r="R553" s="246"/>
    </row>
    <row r="554" spans="5:18" s="111" customFormat="1">
      <c r="E554" s="156"/>
      <c r="F554" s="457"/>
      <c r="I554" s="246"/>
      <c r="J554" s="246"/>
      <c r="R554" s="246"/>
    </row>
    <row r="555" spans="5:18" s="111" customFormat="1">
      <c r="E555" s="156"/>
      <c r="F555" s="457"/>
      <c r="I555" s="246"/>
      <c r="J555" s="246"/>
      <c r="R555" s="246"/>
    </row>
    <row r="556" spans="5:18" s="111" customFormat="1">
      <c r="E556" s="156"/>
      <c r="F556" s="457"/>
      <c r="I556" s="246"/>
      <c r="J556" s="246"/>
      <c r="R556" s="246"/>
    </row>
    <row r="557" spans="5:18" s="111" customFormat="1">
      <c r="E557" s="156"/>
      <c r="F557" s="457"/>
      <c r="I557" s="246"/>
      <c r="J557" s="246"/>
      <c r="R557" s="246"/>
    </row>
    <row r="558" spans="5:18" s="111" customFormat="1">
      <c r="E558" s="156"/>
      <c r="F558" s="457"/>
      <c r="I558" s="246"/>
      <c r="J558" s="246"/>
      <c r="R558" s="246"/>
    </row>
    <row r="559" spans="5:18" s="111" customFormat="1">
      <c r="E559" s="156"/>
      <c r="F559" s="457"/>
      <c r="I559" s="246"/>
      <c r="J559" s="246"/>
      <c r="R559" s="246"/>
    </row>
    <row r="560" spans="5:18" s="111" customFormat="1">
      <c r="E560" s="156"/>
      <c r="F560" s="457"/>
      <c r="I560" s="246"/>
      <c r="J560" s="246"/>
      <c r="R560" s="246"/>
    </row>
    <row r="561" spans="5:18" s="111" customFormat="1">
      <c r="E561" s="156"/>
      <c r="F561" s="457"/>
      <c r="I561" s="246"/>
      <c r="J561" s="246"/>
      <c r="R561" s="246"/>
    </row>
    <row r="562" spans="5:18" s="111" customFormat="1">
      <c r="E562" s="156"/>
      <c r="F562" s="457"/>
      <c r="I562" s="246"/>
      <c r="J562" s="246"/>
      <c r="R562" s="246"/>
    </row>
    <row r="563" spans="5:18" s="111" customFormat="1">
      <c r="E563" s="156"/>
      <c r="F563" s="457"/>
      <c r="I563" s="246"/>
      <c r="J563" s="246"/>
      <c r="R563" s="246"/>
    </row>
    <row r="564" spans="5:18" s="111" customFormat="1">
      <c r="E564" s="156"/>
      <c r="F564" s="457"/>
      <c r="I564" s="246"/>
      <c r="J564" s="246"/>
      <c r="R564" s="246"/>
    </row>
    <row r="565" spans="5:18" s="111" customFormat="1">
      <c r="E565" s="156"/>
      <c r="F565" s="457"/>
      <c r="I565" s="246"/>
      <c r="J565" s="246"/>
      <c r="R565" s="246"/>
    </row>
    <row r="566" spans="5:18" s="111" customFormat="1">
      <c r="E566" s="156"/>
      <c r="F566" s="457"/>
      <c r="I566" s="246"/>
      <c r="J566" s="246"/>
      <c r="R566" s="246"/>
    </row>
    <row r="567" spans="5:18" s="111" customFormat="1">
      <c r="E567" s="156"/>
      <c r="F567" s="457"/>
      <c r="I567" s="246"/>
      <c r="J567" s="246"/>
      <c r="R567" s="246"/>
    </row>
    <row r="568" spans="5:18" s="111" customFormat="1">
      <c r="E568" s="156"/>
      <c r="F568" s="457"/>
      <c r="I568" s="246"/>
      <c r="J568" s="246"/>
      <c r="R568" s="246"/>
    </row>
    <row r="569" spans="5:18" s="111" customFormat="1">
      <c r="E569" s="156"/>
      <c r="F569" s="457"/>
      <c r="I569" s="246"/>
      <c r="J569" s="246"/>
      <c r="R569" s="246"/>
    </row>
    <row r="570" spans="5:18" s="111" customFormat="1">
      <c r="E570" s="156"/>
      <c r="F570" s="457"/>
      <c r="I570" s="246"/>
      <c r="J570" s="246"/>
      <c r="R570" s="246"/>
    </row>
    <row r="571" spans="5:18" s="111" customFormat="1">
      <c r="E571" s="156"/>
      <c r="F571" s="457"/>
      <c r="I571" s="246"/>
      <c r="J571" s="246"/>
      <c r="R571" s="246"/>
    </row>
    <row r="572" spans="5:18" s="111" customFormat="1">
      <c r="E572" s="156"/>
      <c r="F572" s="457"/>
      <c r="I572" s="246"/>
      <c r="J572" s="246"/>
      <c r="R572" s="246"/>
    </row>
    <row r="573" spans="5:18" s="111" customFormat="1">
      <c r="E573" s="156"/>
      <c r="F573" s="457"/>
      <c r="I573" s="246"/>
      <c r="J573" s="246"/>
      <c r="R573" s="246"/>
    </row>
    <row r="574" spans="5:18" s="111" customFormat="1">
      <c r="E574" s="156"/>
      <c r="F574" s="457"/>
      <c r="I574" s="246"/>
      <c r="J574" s="246"/>
      <c r="R574" s="246"/>
    </row>
    <row r="575" spans="5:18" s="111" customFormat="1">
      <c r="E575" s="156"/>
      <c r="F575" s="457"/>
      <c r="I575" s="246"/>
      <c r="J575" s="246"/>
      <c r="R575" s="246"/>
    </row>
    <row r="576" spans="5:18" s="111" customFormat="1">
      <c r="E576" s="156"/>
      <c r="F576" s="457"/>
      <c r="I576" s="246"/>
      <c r="J576" s="246"/>
      <c r="R576" s="246"/>
    </row>
    <row r="577" spans="5:18" s="111" customFormat="1">
      <c r="E577" s="156"/>
      <c r="F577" s="457"/>
      <c r="I577" s="246"/>
      <c r="J577" s="246"/>
      <c r="R577" s="246"/>
    </row>
    <row r="578" spans="5:18" s="111" customFormat="1">
      <c r="E578" s="156"/>
      <c r="F578" s="457"/>
      <c r="I578" s="246"/>
      <c r="J578" s="246"/>
      <c r="R578" s="246"/>
    </row>
    <row r="579" spans="5:18" s="111" customFormat="1">
      <c r="E579" s="156"/>
      <c r="F579" s="457"/>
      <c r="I579" s="246"/>
      <c r="J579" s="246"/>
      <c r="R579" s="246"/>
    </row>
    <row r="580" spans="5:18" s="111" customFormat="1">
      <c r="E580" s="156"/>
      <c r="F580" s="457"/>
      <c r="I580" s="246"/>
      <c r="J580" s="246"/>
      <c r="R580" s="246"/>
    </row>
    <row r="581" spans="5:18" s="111" customFormat="1">
      <c r="E581" s="156"/>
      <c r="F581" s="457"/>
      <c r="I581" s="246"/>
      <c r="J581" s="246"/>
      <c r="R581" s="246"/>
    </row>
    <row r="582" spans="5:18" s="111" customFormat="1">
      <c r="E582" s="156"/>
      <c r="F582" s="457"/>
      <c r="I582" s="246"/>
      <c r="J582" s="246"/>
      <c r="R582" s="246"/>
    </row>
    <row r="583" spans="5:18" s="111" customFormat="1">
      <c r="E583" s="156"/>
      <c r="F583" s="457"/>
      <c r="I583" s="246"/>
      <c r="J583" s="246"/>
      <c r="R583" s="246"/>
    </row>
    <row r="584" spans="5:18" s="111" customFormat="1">
      <c r="E584" s="156"/>
      <c r="F584" s="457"/>
      <c r="I584" s="246"/>
      <c r="J584" s="246"/>
      <c r="R584" s="246"/>
    </row>
    <row r="585" spans="5:18" s="111" customFormat="1">
      <c r="E585" s="156"/>
      <c r="F585" s="457"/>
      <c r="I585" s="246"/>
      <c r="J585" s="246"/>
      <c r="R585" s="246"/>
    </row>
    <row r="586" spans="5:18" s="111" customFormat="1">
      <c r="E586" s="156"/>
      <c r="F586" s="457"/>
      <c r="I586" s="246"/>
      <c r="J586" s="246"/>
      <c r="R586" s="246"/>
    </row>
    <row r="587" spans="5:18" s="111" customFormat="1">
      <c r="E587" s="156"/>
      <c r="F587" s="457"/>
      <c r="I587" s="246"/>
      <c r="J587" s="246"/>
      <c r="R587" s="246"/>
    </row>
    <row r="588" spans="5:18" s="111" customFormat="1">
      <c r="E588" s="156"/>
      <c r="F588" s="457"/>
      <c r="I588" s="246"/>
      <c r="J588" s="246"/>
      <c r="R588" s="246"/>
    </row>
    <row r="589" spans="5:18" s="111" customFormat="1">
      <c r="E589" s="156"/>
      <c r="F589" s="457"/>
      <c r="I589" s="246"/>
      <c r="J589" s="246"/>
      <c r="R589" s="246"/>
    </row>
    <row r="590" spans="5:18" s="111" customFormat="1">
      <c r="E590" s="156"/>
      <c r="F590" s="457"/>
      <c r="I590" s="246"/>
      <c r="J590" s="246"/>
      <c r="R590" s="246"/>
    </row>
    <row r="591" spans="5:18" s="111" customFormat="1">
      <c r="E591" s="156"/>
      <c r="F591" s="457"/>
      <c r="I591" s="246"/>
      <c r="J591" s="246"/>
      <c r="R591" s="246"/>
    </row>
    <row r="592" spans="5:18" s="111" customFormat="1">
      <c r="E592" s="156"/>
      <c r="F592" s="457"/>
      <c r="I592" s="246"/>
      <c r="J592" s="246"/>
      <c r="R592" s="246"/>
    </row>
    <row r="593" spans="5:18" s="111" customFormat="1">
      <c r="E593" s="156"/>
      <c r="F593" s="457"/>
      <c r="I593" s="246"/>
      <c r="J593" s="246"/>
      <c r="R593" s="246"/>
    </row>
    <row r="594" spans="5:18" s="111" customFormat="1">
      <c r="E594" s="156"/>
      <c r="F594" s="457"/>
      <c r="I594" s="246"/>
      <c r="J594" s="246"/>
      <c r="R594" s="246"/>
    </row>
    <row r="595" spans="5:18" s="111" customFormat="1">
      <c r="E595" s="156"/>
      <c r="F595" s="457"/>
      <c r="I595" s="246"/>
      <c r="J595" s="246"/>
      <c r="R595" s="246"/>
    </row>
    <row r="596" spans="5:18" s="111" customFormat="1">
      <c r="E596" s="156"/>
      <c r="F596" s="457"/>
      <c r="I596" s="246"/>
      <c r="J596" s="246"/>
      <c r="R596" s="246"/>
    </row>
    <row r="597" spans="5:18" s="111" customFormat="1">
      <c r="E597" s="156"/>
      <c r="F597" s="457"/>
      <c r="I597" s="246"/>
      <c r="J597" s="246"/>
      <c r="R597" s="246"/>
    </row>
    <row r="598" spans="5:18" s="111" customFormat="1">
      <c r="E598" s="156"/>
      <c r="F598" s="457"/>
      <c r="I598" s="246"/>
      <c r="J598" s="246"/>
      <c r="R598" s="246"/>
    </row>
    <row r="599" spans="5:18" s="111" customFormat="1">
      <c r="E599" s="156"/>
      <c r="F599" s="457"/>
      <c r="I599" s="246"/>
      <c r="J599" s="246"/>
      <c r="R599" s="246"/>
    </row>
    <row r="600" spans="5:18" s="111" customFormat="1">
      <c r="E600" s="156"/>
      <c r="F600" s="457"/>
      <c r="I600" s="246"/>
      <c r="J600" s="246"/>
      <c r="R600" s="246"/>
    </row>
    <row r="601" spans="5:18" s="111" customFormat="1">
      <c r="E601" s="156"/>
      <c r="F601" s="457"/>
      <c r="I601" s="246"/>
      <c r="J601" s="246"/>
      <c r="R601" s="246"/>
    </row>
    <row r="602" spans="5:18" s="111" customFormat="1">
      <c r="E602" s="156"/>
      <c r="F602" s="457"/>
      <c r="I602" s="246"/>
      <c r="J602" s="246"/>
      <c r="R602" s="246"/>
    </row>
    <row r="603" spans="5:18" s="111" customFormat="1">
      <c r="E603" s="156"/>
      <c r="F603" s="457"/>
      <c r="I603" s="246"/>
      <c r="J603" s="246"/>
      <c r="R603" s="246"/>
    </row>
    <row r="604" spans="5:18" s="111" customFormat="1">
      <c r="E604" s="156"/>
      <c r="F604" s="457"/>
      <c r="I604" s="246"/>
      <c r="J604" s="246"/>
      <c r="R604" s="246"/>
    </row>
    <row r="605" spans="5:18" s="111" customFormat="1">
      <c r="E605" s="156"/>
      <c r="F605" s="457"/>
      <c r="I605" s="246"/>
      <c r="J605" s="246"/>
      <c r="R605" s="246"/>
    </row>
    <row r="606" spans="5:18" s="111" customFormat="1">
      <c r="E606" s="156"/>
      <c r="F606" s="457"/>
      <c r="I606" s="246"/>
      <c r="J606" s="246"/>
      <c r="R606" s="246"/>
    </row>
    <row r="607" spans="5:18" s="111" customFormat="1">
      <c r="E607" s="156"/>
      <c r="F607" s="457"/>
      <c r="I607" s="246"/>
      <c r="J607" s="246"/>
      <c r="R607" s="246"/>
    </row>
    <row r="608" spans="5:18" s="111" customFormat="1">
      <c r="E608" s="156"/>
      <c r="F608" s="457"/>
      <c r="I608" s="246"/>
      <c r="J608" s="246"/>
      <c r="R608" s="246"/>
    </row>
    <row r="609" spans="5:18" s="111" customFormat="1">
      <c r="E609" s="156"/>
      <c r="F609" s="457"/>
      <c r="I609" s="246"/>
      <c r="J609" s="246"/>
      <c r="R609" s="246"/>
    </row>
    <row r="610" spans="5:18" s="111" customFormat="1">
      <c r="E610" s="156"/>
      <c r="F610" s="457"/>
      <c r="I610" s="246"/>
      <c r="J610" s="246"/>
      <c r="R610" s="246"/>
    </row>
    <row r="611" spans="5:18" s="111" customFormat="1">
      <c r="E611" s="156"/>
      <c r="F611" s="457"/>
      <c r="I611" s="246"/>
      <c r="J611" s="246"/>
      <c r="R611" s="246"/>
    </row>
    <row r="612" spans="5:18" s="111" customFormat="1">
      <c r="E612" s="156"/>
      <c r="F612" s="457"/>
      <c r="I612" s="246"/>
      <c r="J612" s="246"/>
      <c r="R612" s="246"/>
    </row>
    <row r="613" spans="5:18" s="111" customFormat="1">
      <c r="E613" s="156"/>
      <c r="F613" s="457"/>
      <c r="I613" s="246"/>
      <c r="J613" s="246"/>
      <c r="R613" s="246"/>
    </row>
    <row r="614" spans="5:18" s="111" customFormat="1">
      <c r="E614" s="156"/>
      <c r="F614" s="457"/>
      <c r="I614" s="246"/>
      <c r="J614" s="246"/>
      <c r="R614" s="246"/>
    </row>
    <row r="615" spans="5:18" s="111" customFormat="1">
      <c r="E615" s="156"/>
      <c r="F615" s="457"/>
      <c r="I615" s="246"/>
      <c r="J615" s="246"/>
      <c r="R615" s="246"/>
    </row>
    <row r="616" spans="5:18" s="111" customFormat="1">
      <c r="E616" s="156"/>
      <c r="F616" s="457"/>
      <c r="I616" s="246"/>
      <c r="J616" s="246"/>
      <c r="R616" s="246"/>
    </row>
    <row r="617" spans="5:18" s="111" customFormat="1">
      <c r="E617" s="156"/>
      <c r="F617" s="457"/>
      <c r="I617" s="246"/>
      <c r="J617" s="246"/>
      <c r="R617" s="246"/>
    </row>
    <row r="618" spans="5:18" s="111" customFormat="1">
      <c r="E618" s="156"/>
      <c r="F618" s="457"/>
      <c r="I618" s="246"/>
      <c r="J618" s="246"/>
      <c r="R618" s="246"/>
    </row>
    <row r="619" spans="5:18" s="111" customFormat="1">
      <c r="E619" s="156"/>
      <c r="F619" s="457"/>
      <c r="I619" s="246"/>
      <c r="J619" s="246"/>
      <c r="R619" s="246"/>
    </row>
    <row r="620" spans="5:18" s="111" customFormat="1">
      <c r="E620" s="156"/>
      <c r="F620" s="457"/>
      <c r="I620" s="246"/>
      <c r="J620" s="246"/>
      <c r="R620" s="246"/>
    </row>
    <row r="621" spans="5:18" s="111" customFormat="1">
      <c r="E621" s="156"/>
      <c r="F621" s="457"/>
      <c r="I621" s="246"/>
      <c r="J621" s="246"/>
      <c r="R621" s="246"/>
    </row>
    <row r="622" spans="5:18" s="111" customFormat="1">
      <c r="E622" s="156"/>
      <c r="F622" s="457"/>
      <c r="I622" s="246"/>
      <c r="J622" s="246"/>
      <c r="R622" s="246"/>
    </row>
    <row r="623" spans="5:18" s="111" customFormat="1">
      <c r="E623" s="156"/>
      <c r="F623" s="457"/>
      <c r="I623" s="246"/>
      <c r="J623" s="246"/>
      <c r="R623" s="246"/>
    </row>
    <row r="624" spans="5:18" s="111" customFormat="1">
      <c r="E624" s="156"/>
      <c r="F624" s="457"/>
      <c r="I624" s="246"/>
      <c r="J624" s="246"/>
      <c r="R624" s="246"/>
    </row>
    <row r="625" spans="5:18" s="111" customFormat="1">
      <c r="E625" s="156"/>
      <c r="F625" s="457"/>
      <c r="I625" s="246"/>
      <c r="J625" s="246"/>
      <c r="R625" s="246"/>
    </row>
    <row r="626" spans="5:18" s="111" customFormat="1">
      <c r="E626" s="156"/>
      <c r="F626" s="457"/>
      <c r="I626" s="246"/>
      <c r="J626" s="246"/>
      <c r="R626" s="246"/>
    </row>
    <row r="627" spans="5:18" s="111" customFormat="1">
      <c r="E627" s="156"/>
      <c r="F627" s="457"/>
      <c r="I627" s="246"/>
      <c r="J627" s="246"/>
      <c r="R627" s="246"/>
    </row>
    <row r="628" spans="5:18" s="111" customFormat="1">
      <c r="E628" s="156"/>
      <c r="F628" s="457"/>
      <c r="I628" s="246"/>
      <c r="J628" s="246"/>
      <c r="R628" s="246"/>
    </row>
    <row r="629" spans="5:18" s="111" customFormat="1">
      <c r="E629" s="156"/>
      <c r="F629" s="457"/>
      <c r="I629" s="246"/>
      <c r="J629" s="246"/>
      <c r="R629" s="246"/>
    </row>
    <row r="630" spans="5:18" s="111" customFormat="1">
      <c r="E630" s="156"/>
      <c r="F630" s="457"/>
      <c r="I630" s="246"/>
      <c r="J630" s="246"/>
      <c r="R630" s="246"/>
    </row>
    <row r="631" spans="5:18" s="111" customFormat="1">
      <c r="E631" s="156"/>
      <c r="F631" s="457"/>
      <c r="I631" s="246"/>
      <c r="J631" s="246"/>
      <c r="R631" s="246"/>
    </row>
    <row r="632" spans="5:18" s="111" customFormat="1">
      <c r="E632" s="156"/>
      <c r="F632" s="457"/>
      <c r="I632" s="246"/>
      <c r="J632" s="246"/>
      <c r="R632" s="246"/>
    </row>
    <row r="633" spans="5:18" s="111" customFormat="1">
      <c r="E633" s="156"/>
      <c r="F633" s="457"/>
      <c r="I633" s="246"/>
      <c r="J633" s="246"/>
      <c r="R633" s="246"/>
    </row>
    <row r="634" spans="5:18" s="111" customFormat="1">
      <c r="E634" s="156"/>
      <c r="F634" s="457"/>
      <c r="I634" s="246"/>
      <c r="J634" s="246"/>
      <c r="R634" s="246"/>
    </row>
    <row r="635" spans="5:18" s="111" customFormat="1">
      <c r="E635" s="156"/>
      <c r="F635" s="457"/>
      <c r="I635" s="246"/>
      <c r="J635" s="246"/>
      <c r="R635" s="246"/>
    </row>
    <row r="636" spans="5:18" s="111" customFormat="1">
      <c r="E636" s="156"/>
      <c r="F636" s="457"/>
      <c r="I636" s="246"/>
      <c r="J636" s="246"/>
      <c r="R636" s="246"/>
    </row>
    <row r="637" spans="5:18" s="111" customFormat="1">
      <c r="E637" s="156"/>
      <c r="F637" s="457"/>
      <c r="I637" s="246"/>
      <c r="J637" s="246"/>
      <c r="R637" s="246"/>
    </row>
    <row r="638" spans="5:18" s="111" customFormat="1">
      <c r="E638" s="156"/>
      <c r="F638" s="457"/>
      <c r="I638" s="246"/>
      <c r="J638" s="246"/>
      <c r="R638" s="246"/>
    </row>
    <row r="639" spans="5:18" s="111" customFormat="1">
      <c r="E639" s="156"/>
      <c r="F639" s="457"/>
      <c r="I639" s="246"/>
      <c r="J639" s="246"/>
      <c r="R639" s="246"/>
    </row>
    <row r="640" spans="5:18" s="111" customFormat="1">
      <c r="E640" s="156"/>
      <c r="F640" s="457"/>
      <c r="I640" s="246"/>
      <c r="J640" s="246"/>
      <c r="R640" s="246"/>
    </row>
    <row r="641" spans="5:18" s="111" customFormat="1">
      <c r="E641" s="156"/>
      <c r="F641" s="457"/>
      <c r="I641" s="246"/>
      <c r="J641" s="246"/>
      <c r="R641" s="246"/>
    </row>
    <row r="642" spans="5:18" s="111" customFormat="1">
      <c r="E642" s="156"/>
      <c r="F642" s="457"/>
      <c r="I642" s="246"/>
      <c r="J642" s="246"/>
      <c r="R642" s="246"/>
    </row>
    <row r="643" spans="5:18" s="111" customFormat="1">
      <c r="E643" s="156"/>
      <c r="F643" s="457"/>
      <c r="I643" s="246"/>
      <c r="J643" s="246"/>
      <c r="R643" s="246"/>
    </row>
    <row r="644" spans="5:18" s="111" customFormat="1">
      <c r="E644" s="156"/>
      <c r="F644" s="457"/>
      <c r="I644" s="246"/>
      <c r="J644" s="246"/>
      <c r="R644" s="246"/>
    </row>
    <row r="645" spans="5:18" s="111" customFormat="1">
      <c r="E645" s="156"/>
      <c r="F645" s="457"/>
      <c r="I645" s="246"/>
      <c r="J645" s="246"/>
      <c r="R645" s="246"/>
    </row>
    <row r="646" spans="5:18" s="111" customFormat="1">
      <c r="E646" s="156"/>
      <c r="F646" s="457"/>
      <c r="I646" s="246"/>
      <c r="J646" s="246"/>
      <c r="R646" s="246"/>
    </row>
    <row r="647" spans="5:18" s="111" customFormat="1">
      <c r="E647" s="156"/>
      <c r="F647" s="457"/>
      <c r="I647" s="246"/>
      <c r="J647" s="246"/>
      <c r="R647" s="246"/>
    </row>
    <row r="648" spans="5:18" s="111" customFormat="1">
      <c r="E648" s="156"/>
      <c r="F648" s="457"/>
      <c r="I648" s="246"/>
      <c r="J648" s="246"/>
      <c r="R648" s="246"/>
    </row>
    <row r="649" spans="5:18" s="111" customFormat="1">
      <c r="E649" s="156"/>
      <c r="F649" s="457"/>
      <c r="I649" s="246"/>
      <c r="J649" s="246"/>
      <c r="R649" s="246"/>
    </row>
    <row r="650" spans="5:18" s="111" customFormat="1">
      <c r="E650" s="156"/>
      <c r="F650" s="457"/>
      <c r="I650" s="246"/>
      <c r="J650" s="246"/>
      <c r="R650" s="246"/>
    </row>
    <row r="651" spans="5:18" s="111" customFormat="1">
      <c r="E651" s="156"/>
      <c r="F651" s="457"/>
      <c r="I651" s="246"/>
      <c r="J651" s="246"/>
      <c r="R651" s="246"/>
    </row>
    <row r="652" spans="5:18" s="111" customFormat="1">
      <c r="E652" s="156"/>
      <c r="F652" s="457"/>
      <c r="I652" s="246"/>
      <c r="J652" s="246"/>
      <c r="R652" s="246"/>
    </row>
    <row r="653" spans="5:18" s="111" customFormat="1">
      <c r="E653" s="156"/>
      <c r="F653" s="457"/>
      <c r="I653" s="246"/>
      <c r="J653" s="246"/>
      <c r="R653" s="246"/>
    </row>
    <row r="654" spans="5:18" s="111" customFormat="1">
      <c r="E654" s="156"/>
      <c r="F654" s="457"/>
      <c r="I654" s="246"/>
      <c r="J654" s="246"/>
      <c r="R654" s="246"/>
    </row>
    <row r="655" spans="5:18" s="111" customFormat="1">
      <c r="E655" s="156"/>
      <c r="F655" s="457"/>
      <c r="I655" s="246"/>
      <c r="J655" s="246"/>
      <c r="R655" s="246"/>
    </row>
    <row r="656" spans="5:18" s="111" customFormat="1">
      <c r="E656" s="156"/>
      <c r="F656" s="457"/>
      <c r="I656" s="246"/>
      <c r="J656" s="246"/>
      <c r="R656" s="246"/>
    </row>
    <row r="657" spans="5:18" s="111" customFormat="1">
      <c r="E657" s="156"/>
      <c r="F657" s="457"/>
      <c r="I657" s="246"/>
      <c r="J657" s="246"/>
      <c r="R657" s="246"/>
    </row>
    <row r="658" spans="5:18" s="111" customFormat="1">
      <c r="E658" s="156"/>
      <c r="F658" s="457"/>
      <c r="I658" s="246"/>
      <c r="J658" s="246"/>
      <c r="R658" s="246"/>
    </row>
    <row r="659" spans="5:18" s="111" customFormat="1">
      <c r="E659" s="156"/>
      <c r="F659" s="457"/>
      <c r="I659" s="246"/>
      <c r="J659" s="246"/>
      <c r="R659" s="246"/>
    </row>
    <row r="660" spans="5:18" s="111" customFormat="1">
      <c r="E660" s="156"/>
      <c r="F660" s="457"/>
      <c r="I660" s="246"/>
      <c r="J660" s="246"/>
      <c r="R660" s="246"/>
    </row>
    <row r="661" spans="5:18" s="111" customFormat="1">
      <c r="E661" s="156"/>
      <c r="F661" s="457"/>
      <c r="I661" s="246"/>
      <c r="J661" s="246"/>
      <c r="R661" s="246"/>
    </row>
    <row r="662" spans="5:18" s="111" customFormat="1">
      <c r="E662" s="156"/>
      <c r="F662" s="457"/>
      <c r="I662" s="246"/>
      <c r="J662" s="246"/>
      <c r="R662" s="246"/>
    </row>
    <row r="663" spans="5:18" s="111" customFormat="1">
      <c r="E663" s="156"/>
      <c r="F663" s="457"/>
      <c r="I663" s="246"/>
      <c r="J663" s="246"/>
      <c r="R663" s="246"/>
    </row>
    <row r="664" spans="5:18" s="111" customFormat="1">
      <c r="E664" s="156"/>
      <c r="F664" s="457"/>
      <c r="I664" s="246"/>
      <c r="J664" s="246"/>
      <c r="R664" s="246"/>
    </row>
    <row r="665" spans="5:18" s="111" customFormat="1">
      <c r="E665" s="156"/>
      <c r="F665" s="457"/>
      <c r="I665" s="246"/>
      <c r="J665" s="246"/>
      <c r="R665" s="246"/>
    </row>
    <row r="666" spans="5:18" s="111" customFormat="1">
      <c r="E666" s="156"/>
      <c r="F666" s="457"/>
      <c r="I666" s="246"/>
      <c r="J666" s="246"/>
      <c r="R666" s="246"/>
    </row>
    <row r="667" spans="5:18" s="111" customFormat="1">
      <c r="E667" s="156"/>
      <c r="F667" s="457"/>
      <c r="I667" s="246"/>
      <c r="J667" s="246"/>
      <c r="R667" s="246"/>
    </row>
    <row r="668" spans="5:18" s="111" customFormat="1">
      <c r="E668" s="156"/>
      <c r="F668" s="457"/>
      <c r="I668" s="246"/>
      <c r="J668" s="246"/>
      <c r="R668" s="246"/>
    </row>
    <row r="669" spans="5:18" s="111" customFormat="1">
      <c r="E669" s="156"/>
      <c r="F669" s="457"/>
      <c r="I669" s="246"/>
      <c r="J669" s="246"/>
      <c r="R669" s="246"/>
    </row>
    <row r="670" spans="5:18" s="111" customFormat="1">
      <c r="E670" s="156"/>
      <c r="F670" s="457"/>
      <c r="I670" s="246"/>
      <c r="J670" s="246"/>
      <c r="R670" s="246"/>
    </row>
    <row r="671" spans="5:18" s="111" customFormat="1">
      <c r="E671" s="156"/>
      <c r="F671" s="457"/>
      <c r="I671" s="246"/>
      <c r="J671" s="246"/>
      <c r="R671" s="246"/>
    </row>
    <row r="672" spans="5:18" s="111" customFormat="1">
      <c r="E672" s="156"/>
      <c r="F672" s="457"/>
      <c r="I672" s="246"/>
      <c r="J672" s="246"/>
      <c r="R672" s="246"/>
    </row>
    <row r="673" spans="5:18" s="111" customFormat="1">
      <c r="E673" s="156"/>
      <c r="F673" s="457"/>
      <c r="I673" s="246"/>
      <c r="J673" s="246"/>
      <c r="R673" s="246"/>
    </row>
    <row r="674" spans="5:18" s="111" customFormat="1">
      <c r="E674" s="156"/>
      <c r="F674" s="457"/>
      <c r="I674" s="246"/>
      <c r="J674" s="246"/>
      <c r="R674" s="246"/>
    </row>
    <row r="675" spans="5:18" s="111" customFormat="1">
      <c r="E675" s="156"/>
      <c r="F675" s="457"/>
      <c r="I675" s="246"/>
      <c r="J675" s="246"/>
      <c r="R675" s="246"/>
    </row>
    <row r="676" spans="5:18" s="111" customFormat="1">
      <c r="E676" s="156"/>
      <c r="F676" s="457"/>
      <c r="I676" s="246"/>
      <c r="J676" s="246"/>
      <c r="R676" s="246"/>
    </row>
    <row r="677" spans="5:18" s="111" customFormat="1">
      <c r="E677" s="156"/>
      <c r="F677" s="457"/>
      <c r="I677" s="246"/>
      <c r="J677" s="246"/>
      <c r="R677" s="246"/>
    </row>
    <row r="678" spans="5:18" s="111" customFormat="1">
      <c r="E678" s="156"/>
      <c r="F678" s="457"/>
      <c r="I678" s="246"/>
      <c r="J678" s="246"/>
      <c r="R678" s="246"/>
    </row>
    <row r="679" spans="5:18" s="111" customFormat="1">
      <c r="E679" s="156"/>
      <c r="F679" s="457"/>
      <c r="I679" s="246"/>
      <c r="J679" s="246"/>
      <c r="R679" s="246"/>
    </row>
    <row r="680" spans="5:18" s="111" customFormat="1">
      <c r="E680" s="156"/>
      <c r="F680" s="457"/>
      <c r="I680" s="246"/>
      <c r="J680" s="246"/>
      <c r="R680" s="246"/>
    </row>
    <row r="681" spans="5:18" s="111" customFormat="1">
      <c r="E681" s="156"/>
      <c r="F681" s="457"/>
      <c r="I681" s="246"/>
      <c r="J681" s="246"/>
      <c r="R681" s="246"/>
    </row>
    <row r="682" spans="5:18" s="111" customFormat="1">
      <c r="E682" s="156"/>
      <c r="F682" s="457"/>
      <c r="I682" s="246"/>
      <c r="J682" s="246"/>
      <c r="R682" s="246"/>
    </row>
    <row r="683" spans="5:18" s="111" customFormat="1">
      <c r="E683" s="156"/>
      <c r="F683" s="457"/>
      <c r="I683" s="246"/>
      <c r="J683" s="246"/>
      <c r="R683" s="246"/>
    </row>
    <row r="684" spans="5:18" s="111" customFormat="1">
      <c r="E684" s="156"/>
      <c r="F684" s="457"/>
      <c r="I684" s="246"/>
      <c r="J684" s="246"/>
      <c r="R684" s="246"/>
    </row>
    <row r="685" spans="5:18" s="111" customFormat="1">
      <c r="E685" s="156"/>
      <c r="F685" s="457"/>
      <c r="I685" s="246"/>
      <c r="J685" s="246"/>
      <c r="R685" s="246"/>
    </row>
    <row r="686" spans="5:18" s="111" customFormat="1">
      <c r="E686" s="156"/>
      <c r="F686" s="457"/>
      <c r="I686" s="246"/>
      <c r="J686" s="246"/>
      <c r="R686" s="246"/>
    </row>
    <row r="687" spans="5:18" s="111" customFormat="1">
      <c r="E687" s="156"/>
      <c r="F687" s="457"/>
      <c r="I687" s="246"/>
      <c r="J687" s="246"/>
      <c r="R687" s="246"/>
    </row>
    <row r="688" spans="5:18" s="111" customFormat="1">
      <c r="E688" s="156"/>
      <c r="F688" s="457"/>
      <c r="I688" s="246"/>
      <c r="J688" s="246"/>
      <c r="R688" s="246"/>
    </row>
    <row r="689" spans="5:18" s="111" customFormat="1">
      <c r="E689" s="156"/>
      <c r="F689" s="457"/>
      <c r="I689" s="246"/>
      <c r="J689" s="246"/>
      <c r="R689" s="246"/>
    </row>
    <row r="690" spans="5:18" s="111" customFormat="1">
      <c r="E690" s="156"/>
      <c r="F690" s="457"/>
      <c r="I690" s="246"/>
      <c r="J690" s="246"/>
      <c r="R690" s="246"/>
    </row>
    <row r="691" spans="5:18" s="111" customFormat="1">
      <c r="E691" s="156"/>
      <c r="F691" s="457"/>
      <c r="I691" s="246"/>
      <c r="J691" s="246"/>
      <c r="R691" s="246"/>
    </row>
    <row r="692" spans="5:18" s="111" customFormat="1">
      <c r="E692" s="156"/>
      <c r="F692" s="457"/>
      <c r="I692" s="246"/>
      <c r="J692" s="246"/>
      <c r="R692" s="246"/>
    </row>
    <row r="693" spans="5:18" s="111" customFormat="1">
      <c r="E693" s="156"/>
      <c r="F693" s="457"/>
      <c r="I693" s="246"/>
      <c r="J693" s="246"/>
      <c r="R693" s="246"/>
    </row>
    <row r="694" spans="5:18" s="111" customFormat="1">
      <c r="E694" s="156"/>
      <c r="F694" s="457"/>
      <c r="I694" s="246"/>
      <c r="J694" s="246"/>
      <c r="R694" s="246"/>
    </row>
    <row r="695" spans="5:18" s="111" customFormat="1">
      <c r="E695" s="156"/>
      <c r="F695" s="457"/>
      <c r="I695" s="246"/>
      <c r="J695" s="246"/>
      <c r="R695" s="246"/>
    </row>
    <row r="696" spans="5:18" s="111" customFormat="1">
      <c r="E696" s="156"/>
      <c r="F696" s="457"/>
      <c r="I696" s="246"/>
      <c r="J696" s="246"/>
      <c r="R696" s="246"/>
    </row>
    <row r="697" spans="5:18" s="111" customFormat="1">
      <c r="E697" s="156"/>
      <c r="F697" s="457"/>
      <c r="I697" s="246"/>
      <c r="J697" s="246"/>
      <c r="R697" s="246"/>
    </row>
    <row r="698" spans="5:18" s="111" customFormat="1">
      <c r="E698" s="156"/>
      <c r="F698" s="457"/>
      <c r="I698" s="246"/>
      <c r="J698" s="246"/>
      <c r="R698" s="246"/>
    </row>
    <row r="699" spans="5:18" s="111" customFormat="1">
      <c r="E699" s="156"/>
      <c r="F699" s="457"/>
      <c r="I699" s="246"/>
      <c r="J699" s="246"/>
      <c r="R699" s="246"/>
    </row>
    <row r="700" spans="5:18" s="111" customFormat="1">
      <c r="E700" s="156"/>
      <c r="F700" s="457"/>
      <c r="I700" s="246"/>
      <c r="J700" s="246"/>
      <c r="R700" s="246"/>
    </row>
    <row r="701" spans="5:18" s="111" customFormat="1">
      <c r="E701" s="156"/>
      <c r="F701" s="457"/>
      <c r="I701" s="246"/>
      <c r="J701" s="246"/>
      <c r="R701" s="246"/>
    </row>
    <row r="702" spans="5:18" s="111" customFormat="1">
      <c r="E702" s="156"/>
      <c r="F702" s="457"/>
      <c r="I702" s="246"/>
      <c r="J702" s="246"/>
      <c r="R702" s="246"/>
    </row>
    <row r="703" spans="5:18" s="111" customFormat="1">
      <c r="E703" s="156"/>
      <c r="F703" s="457"/>
      <c r="I703" s="246"/>
      <c r="J703" s="246"/>
      <c r="R703" s="246"/>
    </row>
    <row r="704" spans="5:18" s="111" customFormat="1">
      <c r="E704" s="156"/>
      <c r="F704" s="457"/>
      <c r="I704" s="246"/>
      <c r="J704" s="246"/>
      <c r="R704" s="246"/>
    </row>
    <row r="705" spans="5:18" s="111" customFormat="1">
      <c r="E705" s="156"/>
      <c r="F705" s="457"/>
      <c r="I705" s="246"/>
      <c r="J705" s="246"/>
      <c r="R705" s="246"/>
    </row>
    <row r="706" spans="5:18" s="111" customFormat="1">
      <c r="E706" s="156"/>
      <c r="F706" s="457"/>
      <c r="I706" s="246"/>
      <c r="J706" s="246"/>
      <c r="R706" s="246"/>
    </row>
    <row r="707" spans="5:18" s="111" customFormat="1">
      <c r="E707" s="156"/>
      <c r="F707" s="457"/>
      <c r="I707" s="246"/>
      <c r="J707" s="246"/>
      <c r="R707" s="246"/>
    </row>
    <row r="708" spans="5:18" s="111" customFormat="1">
      <c r="E708" s="156"/>
      <c r="F708" s="457"/>
      <c r="I708" s="246"/>
      <c r="J708" s="246"/>
      <c r="R708" s="246"/>
    </row>
    <row r="709" spans="5:18" s="111" customFormat="1">
      <c r="E709" s="156"/>
      <c r="F709" s="457"/>
      <c r="I709" s="246"/>
      <c r="J709" s="246"/>
      <c r="R709" s="246"/>
    </row>
    <row r="710" spans="5:18" s="111" customFormat="1">
      <c r="E710" s="156"/>
      <c r="F710" s="457"/>
      <c r="I710" s="246"/>
      <c r="J710" s="246"/>
      <c r="R710" s="246"/>
    </row>
    <row r="711" spans="5:18" s="111" customFormat="1">
      <c r="E711" s="156"/>
      <c r="F711" s="457"/>
      <c r="I711" s="246"/>
      <c r="J711" s="246"/>
      <c r="R711" s="246"/>
    </row>
    <row r="712" spans="5:18" s="111" customFormat="1">
      <c r="E712" s="156"/>
      <c r="F712" s="457"/>
      <c r="I712" s="246"/>
      <c r="J712" s="246"/>
      <c r="R712" s="246"/>
    </row>
    <row r="713" spans="5:18" s="111" customFormat="1">
      <c r="E713" s="156"/>
      <c r="F713" s="457"/>
      <c r="I713" s="246"/>
      <c r="J713" s="246"/>
      <c r="R713" s="246"/>
    </row>
    <row r="714" spans="5:18" s="111" customFormat="1">
      <c r="E714" s="156"/>
      <c r="F714" s="457"/>
      <c r="I714" s="246"/>
      <c r="J714" s="246"/>
      <c r="R714" s="246"/>
    </row>
    <row r="715" spans="5:18" s="111" customFormat="1">
      <c r="E715" s="156"/>
      <c r="F715" s="457"/>
      <c r="I715" s="246"/>
      <c r="J715" s="246"/>
      <c r="R715" s="246"/>
    </row>
    <row r="716" spans="5:18" s="111" customFormat="1">
      <c r="E716" s="156"/>
      <c r="F716" s="457"/>
      <c r="I716" s="246"/>
      <c r="J716" s="246"/>
      <c r="R716" s="246"/>
    </row>
    <row r="717" spans="5:18" s="111" customFormat="1">
      <c r="E717" s="156"/>
      <c r="F717" s="457"/>
      <c r="I717" s="246"/>
      <c r="J717" s="246"/>
      <c r="R717" s="246"/>
    </row>
    <row r="718" spans="5:18" s="111" customFormat="1">
      <c r="E718" s="156"/>
      <c r="F718" s="457"/>
      <c r="I718" s="246"/>
      <c r="J718" s="246"/>
      <c r="R718" s="246"/>
    </row>
    <row r="719" spans="5:18" s="111" customFormat="1">
      <c r="E719" s="156"/>
      <c r="F719" s="457"/>
      <c r="I719" s="246"/>
      <c r="J719" s="246"/>
      <c r="R719" s="246"/>
    </row>
    <row r="720" spans="5:18" s="111" customFormat="1">
      <c r="E720" s="156"/>
      <c r="F720" s="457"/>
      <c r="I720" s="246"/>
      <c r="J720" s="246"/>
      <c r="R720" s="246"/>
    </row>
    <row r="721" spans="5:18" s="111" customFormat="1">
      <c r="E721" s="156"/>
      <c r="F721" s="457"/>
      <c r="I721" s="246"/>
      <c r="J721" s="246"/>
      <c r="R721" s="246"/>
    </row>
    <row r="722" spans="5:18" s="111" customFormat="1">
      <c r="E722" s="156"/>
      <c r="F722" s="457"/>
      <c r="I722" s="246"/>
      <c r="J722" s="246"/>
      <c r="R722" s="246"/>
    </row>
    <row r="723" spans="5:18" s="111" customFormat="1">
      <c r="E723" s="156"/>
      <c r="F723" s="457"/>
      <c r="I723" s="246"/>
      <c r="J723" s="246"/>
      <c r="R723" s="246"/>
    </row>
    <row r="724" spans="5:18" s="111" customFormat="1">
      <c r="E724" s="156"/>
      <c r="F724" s="457"/>
      <c r="I724" s="246"/>
      <c r="J724" s="246"/>
      <c r="R724" s="246"/>
    </row>
    <row r="725" spans="5:18" s="111" customFormat="1">
      <c r="E725" s="156"/>
      <c r="F725" s="457"/>
      <c r="I725" s="246"/>
      <c r="J725" s="246"/>
      <c r="R725" s="246"/>
    </row>
    <row r="726" spans="5:18" s="111" customFormat="1">
      <c r="E726" s="156"/>
      <c r="F726" s="457"/>
      <c r="I726" s="246"/>
      <c r="J726" s="246"/>
      <c r="R726" s="246"/>
    </row>
    <row r="727" spans="5:18" s="111" customFormat="1">
      <c r="E727" s="156"/>
      <c r="F727" s="457"/>
      <c r="I727" s="246"/>
      <c r="J727" s="246"/>
      <c r="R727" s="246"/>
    </row>
    <row r="728" spans="5:18" s="111" customFormat="1">
      <c r="E728" s="156"/>
      <c r="F728" s="457"/>
      <c r="I728" s="246"/>
      <c r="J728" s="246"/>
      <c r="R728" s="246"/>
    </row>
    <row r="729" spans="5:18" s="111" customFormat="1">
      <c r="E729" s="156"/>
      <c r="F729" s="457"/>
      <c r="I729" s="246"/>
      <c r="J729" s="246"/>
      <c r="R729" s="246"/>
    </row>
    <row r="730" spans="5:18" s="111" customFormat="1">
      <c r="E730" s="156"/>
      <c r="F730" s="457"/>
      <c r="I730" s="246"/>
      <c r="J730" s="246"/>
      <c r="R730" s="246"/>
    </row>
    <row r="731" spans="5:18" s="111" customFormat="1">
      <c r="E731" s="156"/>
      <c r="F731" s="457"/>
      <c r="I731" s="246"/>
      <c r="J731" s="246"/>
      <c r="R731" s="246"/>
    </row>
    <row r="732" spans="5:18" s="111" customFormat="1">
      <c r="E732" s="156"/>
      <c r="F732" s="457"/>
      <c r="I732" s="246"/>
      <c r="J732" s="246"/>
      <c r="R732" s="246"/>
    </row>
    <row r="733" spans="5:18" s="111" customFormat="1">
      <c r="E733" s="156"/>
      <c r="F733" s="457"/>
      <c r="I733" s="246"/>
      <c r="J733" s="246"/>
      <c r="R733" s="246"/>
    </row>
    <row r="734" spans="5:18" s="111" customFormat="1">
      <c r="E734" s="156"/>
      <c r="F734" s="457"/>
      <c r="I734" s="246"/>
      <c r="J734" s="246"/>
      <c r="R734" s="246"/>
    </row>
    <row r="735" spans="5:18" s="111" customFormat="1">
      <c r="E735" s="156"/>
      <c r="F735" s="457"/>
      <c r="I735" s="246"/>
      <c r="J735" s="246"/>
      <c r="R735" s="246"/>
    </row>
    <row r="736" spans="5:18" s="111" customFormat="1">
      <c r="E736" s="156"/>
      <c r="F736" s="457"/>
      <c r="I736" s="246"/>
      <c r="J736" s="246"/>
      <c r="R736" s="246"/>
    </row>
    <row r="737" spans="5:18" s="111" customFormat="1">
      <c r="E737" s="156"/>
      <c r="F737" s="457"/>
      <c r="I737" s="246"/>
      <c r="J737" s="246"/>
      <c r="R737" s="246"/>
    </row>
    <row r="738" spans="5:18" s="111" customFormat="1">
      <c r="E738" s="156"/>
      <c r="F738" s="457"/>
      <c r="I738" s="246"/>
      <c r="J738" s="246"/>
      <c r="R738" s="246"/>
    </row>
    <row r="739" spans="5:18" s="111" customFormat="1">
      <c r="E739" s="156"/>
      <c r="F739" s="457"/>
      <c r="I739" s="246"/>
      <c r="J739" s="246"/>
      <c r="R739" s="246"/>
    </row>
    <row r="740" spans="5:18" s="111" customFormat="1">
      <c r="E740" s="156"/>
      <c r="F740" s="457"/>
      <c r="I740" s="246"/>
      <c r="J740" s="246"/>
      <c r="R740" s="246"/>
    </row>
    <row r="741" spans="5:18" s="111" customFormat="1">
      <c r="E741" s="156"/>
      <c r="F741" s="457"/>
      <c r="I741" s="246"/>
      <c r="J741" s="246"/>
      <c r="R741" s="246"/>
    </row>
    <row r="742" spans="5:18" s="111" customFormat="1">
      <c r="E742" s="156"/>
      <c r="F742" s="457"/>
      <c r="I742" s="246"/>
      <c r="J742" s="246"/>
      <c r="R742" s="246"/>
    </row>
    <row r="743" spans="5:18" s="111" customFormat="1">
      <c r="E743" s="156"/>
      <c r="F743" s="457"/>
      <c r="I743" s="246"/>
      <c r="J743" s="246"/>
      <c r="R743" s="246"/>
    </row>
    <row r="744" spans="5:18" s="111" customFormat="1">
      <c r="E744" s="156"/>
      <c r="F744" s="457"/>
      <c r="I744" s="246"/>
      <c r="J744" s="246"/>
      <c r="R744" s="246"/>
    </row>
    <row r="745" spans="5:18" s="111" customFormat="1">
      <c r="E745" s="156"/>
      <c r="F745" s="457"/>
      <c r="I745" s="246"/>
      <c r="J745" s="246"/>
      <c r="R745" s="246"/>
    </row>
    <row r="746" spans="5:18" s="111" customFormat="1">
      <c r="E746" s="156"/>
      <c r="F746" s="457"/>
      <c r="I746" s="246"/>
      <c r="J746" s="246"/>
      <c r="R746" s="246"/>
    </row>
    <row r="747" spans="5:18" s="111" customFormat="1">
      <c r="E747" s="156"/>
      <c r="F747" s="457"/>
      <c r="I747" s="246"/>
      <c r="J747" s="246"/>
      <c r="R747" s="246"/>
    </row>
    <row r="748" spans="5:18" s="111" customFormat="1">
      <c r="E748" s="156"/>
      <c r="F748" s="457"/>
      <c r="I748" s="246"/>
      <c r="J748" s="246"/>
      <c r="R748" s="246"/>
    </row>
    <row r="749" spans="5:18" s="111" customFormat="1">
      <c r="E749" s="156"/>
      <c r="F749" s="457"/>
      <c r="I749" s="246"/>
      <c r="J749" s="246"/>
      <c r="R749" s="246"/>
    </row>
    <row r="750" spans="5:18" s="111" customFormat="1">
      <c r="E750" s="156"/>
      <c r="F750" s="457"/>
      <c r="I750" s="246"/>
      <c r="J750" s="246"/>
      <c r="R750" s="246"/>
    </row>
    <row r="751" spans="5:18" s="111" customFormat="1">
      <c r="E751" s="156"/>
      <c r="F751" s="457"/>
      <c r="I751" s="246"/>
      <c r="J751" s="246"/>
      <c r="R751" s="246"/>
    </row>
    <row r="752" spans="5:18" s="111" customFormat="1">
      <c r="E752" s="156"/>
      <c r="F752" s="457"/>
      <c r="I752" s="246"/>
      <c r="J752" s="246"/>
      <c r="R752" s="246"/>
    </row>
    <row r="753" spans="5:18" s="111" customFormat="1">
      <c r="E753" s="156"/>
      <c r="F753" s="457"/>
      <c r="I753" s="246"/>
      <c r="J753" s="246"/>
      <c r="R753" s="246"/>
    </row>
    <row r="754" spans="5:18" s="111" customFormat="1">
      <c r="E754" s="156"/>
      <c r="F754" s="457"/>
      <c r="I754" s="246"/>
      <c r="J754" s="246"/>
      <c r="R754" s="246"/>
    </row>
  </sheetData>
  <sheetProtection formatCells="0" formatColumns="0" formatRows="0" insertColumns="0" insertRows="0" insertHyperlinks="0" deleteColumns="0" deleteRows="0" sort="0" autoFilter="0" pivotTables="0"/>
  <mergeCells count="89">
    <mergeCell ref="I21:I35"/>
    <mergeCell ref="J21:J35"/>
    <mergeCell ref="X21:X35"/>
    <mergeCell ref="I37:I54"/>
    <mergeCell ref="J37:J54"/>
    <mergeCell ref="R38:R45"/>
    <mergeCell ref="R21:R30"/>
    <mergeCell ref="V21:V35"/>
    <mergeCell ref="B2:G2"/>
    <mergeCell ref="L2:Q2"/>
    <mergeCell ref="I6:I19"/>
    <mergeCell ref="J6:J19"/>
    <mergeCell ref="R2:W2"/>
    <mergeCell ref="V6:V19"/>
    <mergeCell ref="V37:V54"/>
    <mergeCell ref="I81:I95"/>
    <mergeCell ref="J81:J95"/>
    <mergeCell ref="R108:R112"/>
    <mergeCell ref="I56:I79"/>
    <mergeCell ref="J56:J79"/>
    <mergeCell ref="I97:I136"/>
    <mergeCell ref="V56:V79"/>
    <mergeCell ref="V81:V95"/>
    <mergeCell ref="V97:V136"/>
    <mergeCell ref="R99:R106"/>
    <mergeCell ref="R114:R115"/>
    <mergeCell ref="J97:J136"/>
    <mergeCell ref="V217:V264"/>
    <mergeCell ref="V147:V177"/>
    <mergeCell ref="V179:V215"/>
    <mergeCell ref="I138:I145"/>
    <mergeCell ref="R150:R153"/>
    <mergeCell ref="R155:R156"/>
    <mergeCell ref="J138:J145"/>
    <mergeCell ref="V138:V145"/>
    <mergeCell ref="J147:J177"/>
    <mergeCell ref="X147:X177"/>
    <mergeCell ref="I179:I215"/>
    <mergeCell ref="J179:J215"/>
    <mergeCell ref="X179:X215"/>
    <mergeCell ref="I266:I314"/>
    <mergeCell ref="J266:J314"/>
    <mergeCell ref="X266:X314"/>
    <mergeCell ref="R160:R161"/>
    <mergeCell ref="I316:I317"/>
    <mergeCell ref="J316:J317"/>
    <mergeCell ref="K316:K317"/>
    <mergeCell ref="X316:X317"/>
    <mergeCell ref="V266:V314"/>
    <mergeCell ref="R275:R292"/>
    <mergeCell ref="R293:R302"/>
    <mergeCell ref="R304:R305"/>
    <mergeCell ref="I217:I264"/>
    <mergeCell ref="J217:J264"/>
    <mergeCell ref="X217:X264"/>
    <mergeCell ref="I147:I177"/>
    <mergeCell ref="I372:I394"/>
    <mergeCell ref="J372:J394"/>
    <mergeCell ref="X372:X394"/>
    <mergeCell ref="Z335:Z370"/>
    <mergeCell ref="I319:I333"/>
    <mergeCell ref="J319:J333"/>
    <mergeCell ref="X319:X333"/>
    <mergeCell ref="I335:I370"/>
    <mergeCell ref="J335:J370"/>
    <mergeCell ref="X335:X370"/>
    <mergeCell ref="V319:V333"/>
    <mergeCell ref="V335:V370"/>
    <mergeCell ref="V372:V394"/>
    <mergeCell ref="Z372:Z394"/>
    <mergeCell ref="Z217:Z264"/>
    <mergeCell ref="Z266:Z314"/>
    <mergeCell ref="Z316:Z317"/>
    <mergeCell ref="Z319:Z333"/>
    <mergeCell ref="Z179:Z215"/>
    <mergeCell ref="Z147:Z177"/>
    <mergeCell ref="X138:X145"/>
    <mergeCell ref="Z138:Z145"/>
    <mergeCell ref="Z97:Z136"/>
    <mergeCell ref="X6:X19"/>
    <mergeCell ref="Z6:Z19"/>
    <mergeCell ref="Z21:Z35"/>
    <mergeCell ref="Z37:Z54"/>
    <mergeCell ref="Z56:Z79"/>
    <mergeCell ref="Z81:Z95"/>
    <mergeCell ref="X81:X95"/>
    <mergeCell ref="X56:X79"/>
    <mergeCell ref="X97:X136"/>
    <mergeCell ref="X37:X54"/>
  </mergeCells>
  <phoneticPr fontId="19" type="noConversion"/>
  <conditionalFormatting sqref="J4">
    <cfRule type="containsText" dxfId="99" priority="3" operator="containsText" text="ERROR">
      <formula>NOT(ISERROR(SEARCH("ERROR",J4)))</formula>
    </cfRule>
  </conditionalFormatting>
  <conditionalFormatting sqref="W239 W229:W233 W245:W394 W6:W221">
    <cfRule type="timePeriod" dxfId="98" priority="1" timePeriod="thisWeek">
      <formula>AND(TODAY()-ROUNDDOWN(W6,0)&lt;=WEEKDAY(TODAY())-1,ROUNDDOWN(W6,0)-TODAY()&lt;=7-WEEKDAY(TODAY()))</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4.5"/>
  <cols>
    <col min="1" max="1" width="48.08984375" bestFit="1" customWidth="1"/>
    <col min="2" max="2" width="12.36328125" bestFit="1" customWidth="1"/>
  </cols>
  <sheetData>
    <row r="1" spans="1:3">
      <c r="A1" t="s">
        <v>1294</v>
      </c>
      <c r="B1" s="775">
        <v>750000</v>
      </c>
    </row>
    <row r="4" spans="1:3">
      <c r="A4" s="774" t="s">
        <v>1295</v>
      </c>
      <c r="B4" s="777">
        <f>$B$1*C4</f>
        <v>405000</v>
      </c>
      <c r="C4" s="776">
        <v>0.54</v>
      </c>
    </row>
    <row r="5" spans="1:3">
      <c r="A5" s="774" t="s">
        <v>1296</v>
      </c>
      <c r="B5" s="777">
        <f t="shared" ref="B5:B10" si="0">$B$1*C5</f>
        <v>67500</v>
      </c>
      <c r="C5" s="776">
        <v>0.09</v>
      </c>
    </row>
    <row r="6" spans="1:3">
      <c r="A6" s="774" t="s">
        <v>1297</v>
      </c>
      <c r="B6" s="777">
        <f t="shared" si="0"/>
        <v>67500</v>
      </c>
      <c r="C6" s="776">
        <v>0.09</v>
      </c>
    </row>
    <row r="7" spans="1:3">
      <c r="A7" s="774" t="s">
        <v>1298</v>
      </c>
      <c r="B7" s="777">
        <f t="shared" si="0"/>
        <v>37500</v>
      </c>
      <c r="C7" s="776">
        <v>0.05</v>
      </c>
    </row>
    <row r="8" spans="1:3">
      <c r="A8" s="774" t="s">
        <v>1299</v>
      </c>
      <c r="B8" s="777">
        <f t="shared" si="0"/>
        <v>30000</v>
      </c>
      <c r="C8" s="776">
        <v>0.04</v>
      </c>
    </row>
    <row r="9" spans="1:3">
      <c r="A9" s="774" t="s">
        <v>1300</v>
      </c>
      <c r="B9" s="777">
        <f t="shared" si="0"/>
        <v>67500</v>
      </c>
      <c r="C9" s="776">
        <v>0.09</v>
      </c>
    </row>
    <row r="10" spans="1:3">
      <c r="A10" s="774" t="s">
        <v>1301</v>
      </c>
      <c r="B10" s="777">
        <f t="shared" si="0"/>
        <v>74999.999999999985</v>
      </c>
      <c r="C10" s="776">
        <f>100%-SUM(C4:C9)</f>
        <v>9.9999999999999978E-2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S16" activePane="bottomRight" state="frozen"/>
      <selection pane="topRight" activeCell="X33" sqref="X33"/>
      <selection pane="bottomLeft" activeCell="X33" sqref="X33"/>
      <selection pane="bottomRight" activeCell="X34" sqref="X34"/>
    </sheetView>
  </sheetViews>
  <sheetFormatPr defaultColWidth="9.453125" defaultRowHeight="15" customHeight="1"/>
  <cols>
    <col min="1" max="1" width="9.453125" customWidth="1"/>
    <col min="2" max="2" width="34.453125" customWidth="1"/>
    <col min="3" max="3" width="18.453125" bestFit="1" customWidth="1"/>
    <col min="4" max="4" width="21.36328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1302</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1015" t="s">
        <v>931</v>
      </c>
      <c r="B2" s="184"/>
      <c r="C2" s="185" t="s">
        <v>957</v>
      </c>
      <c r="D2" s="185" t="s">
        <v>957</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1016"/>
      <c r="B3" s="187" t="s">
        <v>896</v>
      </c>
      <c r="C3" s="188">
        <f>'Revenue Tracking'!D4</f>
        <v>144482290.75276899</v>
      </c>
      <c r="D3" s="188">
        <f>SUM(F3:DD3)</f>
        <v>136400000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45500000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0</v>
      </c>
      <c r="CB3" s="190">
        <f>SUMIFS('Revenue Tracking'!$F$13:$F$37, 'Revenue Tracking'!$H$13:$H$37, "&gt;="&amp;CB1,'Revenue Tracking'!$H$13:$H$37, "&lt;"&amp;CC1)</f>
        <v>0</v>
      </c>
      <c r="CC3" s="190">
        <f>SUMIFS('Revenue Tracking'!$F$13:$F$37, 'Revenue Tracking'!$H$13:$H$37, "&gt;="&amp;CC1,'Revenue Tracking'!$H$13:$H$37, "&lt;"&amp;CD1)</f>
        <v>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1016"/>
      <c r="B4" s="187" t="s">
        <v>1303</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45500000</v>
      </c>
      <c r="BL4" s="190">
        <f t="shared" si="56"/>
        <v>45500000</v>
      </c>
      <c r="BM4" s="190">
        <f t="shared" si="56"/>
        <v>45500000</v>
      </c>
      <c r="BN4" s="190">
        <f t="shared" si="56"/>
        <v>45500000</v>
      </c>
      <c r="BO4" s="190">
        <f t="shared" si="56"/>
        <v>49500000</v>
      </c>
      <c r="BP4" s="190">
        <f t="shared" si="56"/>
        <v>49500000</v>
      </c>
      <c r="BQ4" s="190">
        <f t="shared" si="56"/>
        <v>49500000</v>
      </c>
      <c r="BR4" s="190">
        <f t="shared" si="56"/>
        <v>49500000</v>
      </c>
      <c r="BS4" s="190">
        <f t="shared" si="56"/>
        <v>64500000</v>
      </c>
      <c r="BT4" s="190">
        <f t="shared" si="56"/>
        <v>64500000</v>
      </c>
      <c r="BU4" s="190">
        <f t="shared" ref="BU4:DB4" si="57">BT4+BU3</f>
        <v>78400000</v>
      </c>
      <c r="BV4" s="190">
        <f t="shared" si="57"/>
        <v>78400000</v>
      </c>
      <c r="BW4" s="190">
        <f t="shared" si="57"/>
        <v>78400000</v>
      </c>
      <c r="BX4" s="190">
        <f t="shared" si="57"/>
        <v>94400000</v>
      </c>
      <c r="BY4" s="190">
        <f t="shared" si="57"/>
        <v>94400000</v>
      </c>
      <c r="BZ4" s="190">
        <f t="shared" si="57"/>
        <v>94400000</v>
      </c>
      <c r="CA4" s="190">
        <f t="shared" si="57"/>
        <v>94400000</v>
      </c>
      <c r="CB4" s="190">
        <f t="shared" si="57"/>
        <v>94400000</v>
      </c>
      <c r="CC4" s="190">
        <f t="shared" si="57"/>
        <v>94400000</v>
      </c>
      <c r="CD4" s="190">
        <f t="shared" si="57"/>
        <v>94400000</v>
      </c>
      <c r="CE4" s="190">
        <f t="shared" si="57"/>
        <v>103400000</v>
      </c>
      <c r="CF4" s="190">
        <f t="shared" si="57"/>
        <v>103400000</v>
      </c>
      <c r="CG4" s="190">
        <f t="shared" si="57"/>
        <v>110400000</v>
      </c>
      <c r="CH4" s="190">
        <f t="shared" si="57"/>
        <v>110400000</v>
      </c>
      <c r="CI4" s="190">
        <f t="shared" si="57"/>
        <v>117900000</v>
      </c>
      <c r="CJ4" s="190">
        <f t="shared" si="57"/>
        <v>117900000</v>
      </c>
      <c r="CK4" s="190">
        <f t="shared" si="57"/>
        <v>123400000</v>
      </c>
      <c r="CL4" s="190">
        <f t="shared" si="57"/>
        <v>123400000</v>
      </c>
      <c r="CM4" s="190">
        <f t="shared" si="57"/>
        <v>134900000</v>
      </c>
      <c r="CN4" s="190">
        <f t="shared" si="57"/>
        <v>134900000</v>
      </c>
      <c r="CO4" s="190">
        <f t="shared" si="57"/>
        <v>136400000</v>
      </c>
      <c r="CP4" s="190">
        <f t="shared" si="57"/>
        <v>136400000</v>
      </c>
      <c r="CQ4" s="190">
        <f t="shared" si="57"/>
        <v>136400000</v>
      </c>
      <c r="CR4" s="190">
        <f t="shared" si="57"/>
        <v>136400000</v>
      </c>
      <c r="CS4" s="190">
        <f t="shared" si="57"/>
        <v>136400000</v>
      </c>
      <c r="CT4" s="190">
        <f t="shared" si="57"/>
        <v>136400000</v>
      </c>
      <c r="CU4" s="190">
        <f t="shared" si="57"/>
        <v>136400000</v>
      </c>
      <c r="CV4" s="190">
        <f t="shared" si="57"/>
        <v>136400000</v>
      </c>
      <c r="CW4" s="190">
        <f t="shared" si="57"/>
        <v>136400000</v>
      </c>
      <c r="CX4" s="190">
        <f t="shared" si="57"/>
        <v>136400000</v>
      </c>
      <c r="CY4" s="190">
        <f t="shared" si="57"/>
        <v>136400000</v>
      </c>
      <c r="CZ4" s="190">
        <f t="shared" si="57"/>
        <v>136400000</v>
      </c>
      <c r="DA4" s="190">
        <f t="shared" si="57"/>
        <v>136400000</v>
      </c>
      <c r="DB4" s="190">
        <f t="shared" si="57"/>
        <v>136400000</v>
      </c>
      <c r="DC4" s="190">
        <f t="shared" ref="DC4" si="58">DB4+DC3</f>
        <v>136400000</v>
      </c>
      <c r="DD4" s="190">
        <f t="shared" ref="DD4" si="59">DC4+DD3</f>
        <v>136400000</v>
      </c>
      <c r="DE4" s="190">
        <f t="shared" ref="DE4" si="60">DD4+DE3</f>
        <v>136400000</v>
      </c>
      <c r="DF4" s="190">
        <f t="shared" ref="DF4" si="61">DE4+DF3</f>
        <v>136400000</v>
      </c>
      <c r="DG4" s="190">
        <f t="shared" ref="DG4" si="62">DF4+DG3</f>
        <v>136400000</v>
      </c>
      <c r="DH4" s="190">
        <f t="shared" ref="DH4" si="63">DG4+DH3</f>
        <v>136400000</v>
      </c>
      <c r="DI4" s="190">
        <f t="shared" ref="DI4" si="64">DH4+DI3</f>
        <v>136400000</v>
      </c>
      <c r="DJ4" s="190">
        <f t="shared" ref="DJ4" si="65">DI4+DJ3</f>
        <v>136400000</v>
      </c>
      <c r="DK4" s="190">
        <f t="shared" ref="DK4" si="66">DJ4+DK3</f>
        <v>136400000</v>
      </c>
      <c r="DL4" s="190">
        <f t="shared" ref="DL4" si="67">DK4+DL3</f>
        <v>136400000</v>
      </c>
      <c r="DM4" s="190">
        <f t="shared" ref="DM4" si="68">DL4+DM3</f>
        <v>136400000</v>
      </c>
      <c r="DN4" s="190">
        <f t="shared" ref="DN4" si="69">DM4+DN3</f>
        <v>136400000</v>
      </c>
      <c r="DO4" s="190">
        <f t="shared" ref="DO4" si="70">DN4+DO3</f>
        <v>136400000</v>
      </c>
      <c r="DP4" s="190">
        <f t="shared" ref="DP4" si="71">DO4+DP3</f>
        <v>136400000</v>
      </c>
      <c r="DQ4" s="190">
        <f t="shared" ref="DQ4" si="72">DP4+DQ3</f>
        <v>136400000</v>
      </c>
      <c r="DR4" s="190">
        <f t="shared" ref="DR4" si="73">DQ4+DR3</f>
        <v>136400000</v>
      </c>
      <c r="DS4" s="190">
        <f t="shared" ref="DS4" si="74">DR4+DS3</f>
        <v>136400000</v>
      </c>
      <c r="DT4" s="190">
        <f t="shared" ref="DT4" si="75">DS4+DT3</f>
        <v>136400000</v>
      </c>
      <c r="DU4" s="190">
        <f t="shared" ref="DU4" si="76">DT4+DU3</f>
        <v>136400000</v>
      </c>
      <c r="DV4" s="190">
        <f t="shared" ref="DV4" si="77">DU4+DV3</f>
        <v>136400000</v>
      </c>
      <c r="DW4" s="190">
        <f t="shared" ref="DW4" si="78">DV4+DW3</f>
        <v>136400000</v>
      </c>
      <c r="DX4" s="190">
        <f t="shared" ref="DX4" si="79">DW4+DX3</f>
        <v>136400000</v>
      </c>
      <c r="DY4" s="190">
        <f t="shared" ref="DY4" si="80">DX4+DY3</f>
        <v>136400000</v>
      </c>
      <c r="DZ4" s="190">
        <f t="shared" ref="DZ4" si="81">DY4+DZ3</f>
        <v>136400000</v>
      </c>
      <c r="EA4" s="190">
        <f t="shared" ref="EA4" si="82">DZ4+EA3</f>
        <v>136400000</v>
      </c>
      <c r="EB4" s="190">
        <f t="shared" ref="EB4" si="83">EA4+EB3</f>
        <v>136400000</v>
      </c>
      <c r="EC4" s="190">
        <f t="shared" ref="EC4" si="84">EB4+EC3</f>
        <v>136400000</v>
      </c>
      <c r="ED4" s="190">
        <f t="shared" ref="ED4" si="85">EC4+ED3</f>
        <v>136400000</v>
      </c>
      <c r="EE4" s="190">
        <f t="shared" ref="EE4" si="86">ED4+EE3</f>
        <v>136400000</v>
      </c>
      <c r="EF4" s="190">
        <f t="shared" ref="EF4" si="87">EE4+EF3</f>
        <v>136400000</v>
      </c>
      <c r="EG4" s="190">
        <f t="shared" ref="EG4" si="88">EF4+EG3</f>
        <v>136400000</v>
      </c>
      <c r="EH4" s="190">
        <f t="shared" ref="EH4" si="89">EG4+EH3</f>
        <v>136400000</v>
      </c>
      <c r="EI4" s="190">
        <f t="shared" ref="EI4" si="90">EH4+EI3</f>
        <v>136400000</v>
      </c>
      <c r="EJ4" s="190">
        <f t="shared" ref="EJ4" si="91">EI4+EJ3</f>
        <v>136400000</v>
      </c>
      <c r="EK4" s="190">
        <f t="shared" ref="EK4" si="92">EJ4+EK3</f>
        <v>136400000</v>
      </c>
      <c r="EL4" s="190">
        <f t="shared" ref="EL4" si="93">EK4+EL3</f>
        <v>136400000</v>
      </c>
      <c r="EM4" s="190">
        <f t="shared" ref="EM4" si="94">EL4+EM3</f>
        <v>136400000</v>
      </c>
      <c r="EN4" s="190">
        <f t="shared" ref="EN4" si="95">EM4+EN3</f>
        <v>136400000</v>
      </c>
      <c r="EO4" s="190">
        <f t="shared" ref="EO4" si="96">EN4+EO3</f>
        <v>136400000</v>
      </c>
      <c r="EP4" s="190">
        <f t="shared" ref="EP4" si="97">EO4+EP3</f>
        <v>136400000</v>
      </c>
      <c r="EQ4" s="190">
        <f t="shared" ref="EQ4" si="98">EP4+EQ3</f>
        <v>136400000</v>
      </c>
      <c r="ER4" s="190">
        <f t="shared" ref="ER4" si="99">EQ4+ER3</f>
        <v>136400000</v>
      </c>
      <c r="ES4" s="190">
        <f t="shared" ref="ES4" si="100">ER4+ES3</f>
        <v>136400000</v>
      </c>
      <c r="ET4" s="190">
        <f t="shared" ref="ET4" si="101">ES4+ET3</f>
        <v>136400000</v>
      </c>
      <c r="EU4" s="190">
        <f t="shared" ref="EU4" si="102">ET4+EU3</f>
        <v>136400000</v>
      </c>
      <c r="EV4" s="190">
        <f t="shared" ref="EV4" si="103">EU4+EV3</f>
        <v>136400000</v>
      </c>
      <c r="EW4" s="190">
        <f t="shared" ref="EW4" si="104">EV4+EW3</f>
        <v>136400000</v>
      </c>
      <c r="EX4" s="190">
        <f t="shared" ref="EX4" si="105">EW4+EX3</f>
        <v>136400000</v>
      </c>
      <c r="EY4" s="190">
        <f t="shared" ref="EY4" si="106">EX4+EY3</f>
        <v>136400000</v>
      </c>
      <c r="EZ4" s="190">
        <f t="shared" ref="EZ4" si="107">EY4+EZ3</f>
        <v>136400000</v>
      </c>
      <c r="FA4" s="190">
        <f t="shared" ref="FA4" si="108">EZ4+FA3</f>
        <v>136400000</v>
      </c>
      <c r="FB4" s="190">
        <f t="shared" ref="FB4" si="109">FA4+FB3</f>
        <v>136400000</v>
      </c>
      <c r="FC4" s="190">
        <f t="shared" ref="FC4" si="110">FB4+FC3</f>
        <v>136400000</v>
      </c>
      <c r="FD4" s="190">
        <f t="shared" ref="FD4" si="111">FC4+FD3</f>
        <v>136400000</v>
      </c>
    </row>
    <row r="5" spans="1:638" s="195" customFormat="1" ht="15" customHeight="1">
      <c r="A5" s="1016"/>
      <c r="B5" s="191" t="s">
        <v>897</v>
      </c>
      <c r="C5" s="192">
        <f>'Revenue Tracking'!D5</f>
        <v>136620512.96264103</v>
      </c>
      <c r="D5" s="192">
        <f>SUM(F5:DD5)</f>
        <v>136620512.96264103</v>
      </c>
      <c r="E5" s="189"/>
      <c r="F5" s="193">
        <f>SUMIFS('Expenditure Breakdown'!$G$6:$G$402, 'Expenditure Breakdown'!$H$6:$H$402, "&gt;="&amp;F1,'Expenditure Breakdown'!$H$6:$H$402, "&lt;"&amp;G1)</f>
        <v>0</v>
      </c>
      <c r="G5" s="193">
        <f>SUMIFS('Expenditure Breakdown'!$G$6:$G$402, 'Expenditure Breakdown'!$H$6:$H$402, "&gt;="&amp;G1,'Expenditure Breakdown'!$H$6:$H$402, "&lt;"&amp;H1)</f>
        <v>0</v>
      </c>
      <c r="H5" s="193">
        <f>SUMIFS('Expenditure Breakdown'!$G$6:$G$402, 'Expenditure Breakdown'!$H$6:$H$402, "&gt;="&amp;H1,'Expenditure Breakdown'!$H$6:$H$402, "&lt;"&amp;I1)</f>
        <v>0</v>
      </c>
      <c r="I5" s="193">
        <f>SUMIFS('Expenditure Breakdown'!$G$6:$G$402, 'Expenditure Breakdown'!$H$6:$H$402, "&gt;="&amp;I1,'Expenditure Breakdown'!$H$6:$H$402, "&lt;"&amp;J1)</f>
        <v>0</v>
      </c>
      <c r="J5" s="193">
        <f>SUMIFS('Expenditure Breakdown'!$G$6:$G$402, 'Expenditure Breakdown'!$H$6:$H$402, "&gt;="&amp;J1,'Expenditure Breakdown'!$H$6:$H$402, "&lt;"&amp;K1)</f>
        <v>0</v>
      </c>
      <c r="K5" s="193">
        <f>SUMIFS('Expenditure Breakdown'!$G$6:$G$402, 'Expenditure Breakdown'!$H$6:$H$402, "&gt;="&amp;K1,'Expenditure Breakdown'!$H$6:$H$402, "&lt;"&amp;L1)</f>
        <v>0</v>
      </c>
      <c r="L5" s="193">
        <f>SUMIFS('Expenditure Breakdown'!$G$6:$G$402, 'Expenditure Breakdown'!$H$6:$H$402, "&gt;="&amp;L1,'Expenditure Breakdown'!$H$6:$H$402, "&lt;"&amp;M1)</f>
        <v>0</v>
      </c>
      <c r="M5" s="193">
        <f>SUMIFS('Expenditure Breakdown'!$G$6:$G$402, 'Expenditure Breakdown'!$H$6:$H$402, "&gt;="&amp;M1,'Expenditure Breakdown'!$H$6:$H$402, "&lt;"&amp;N1)</f>
        <v>0</v>
      </c>
      <c r="N5" s="193">
        <f>SUMIFS('Expenditure Breakdown'!$G$6:$G$402, 'Expenditure Breakdown'!$H$6:$H$402, "&gt;="&amp;N1,'Expenditure Breakdown'!$H$6:$H$402, "&lt;"&amp;O1)</f>
        <v>240000</v>
      </c>
      <c r="O5" s="193">
        <f>SUMIFS('Expenditure Breakdown'!$G$6:$G$402, 'Expenditure Breakdown'!$H$6:$H$402, "&gt;="&amp;O1,'Expenditure Breakdown'!$H$6:$H$402, "&lt;"&amp;P1)</f>
        <v>0</v>
      </c>
      <c r="P5" s="193">
        <f>SUMIFS('Expenditure Breakdown'!$G$6:$G$402, 'Expenditure Breakdown'!$H$6:$H$402, "&gt;="&amp;P1,'Expenditure Breakdown'!$H$6:$H$402, "&lt;"&amp;Q1)</f>
        <v>0</v>
      </c>
      <c r="Q5" s="193">
        <f>SUMIFS('Expenditure Breakdown'!$G$6:$G$402, 'Expenditure Breakdown'!$H$6:$H$402, "&gt;="&amp;Q1,'Expenditure Breakdown'!$H$6:$H$402, "&lt;"&amp;R1)</f>
        <v>0</v>
      </c>
      <c r="R5" s="193">
        <f>SUMIFS('Expenditure Breakdown'!$G$6:$G$402, 'Expenditure Breakdown'!$H$6:$H$402, "&gt;="&amp;R1,'Expenditure Breakdown'!$H$6:$H$402, "&lt;"&amp;S1)</f>
        <v>0</v>
      </c>
      <c r="S5" s="193">
        <f>SUMIFS('Expenditure Breakdown'!$G$6:$G$402, 'Expenditure Breakdown'!$H$6:$H$402, "&gt;="&amp;S1,'Expenditure Breakdown'!$H$6:$H$402, "&lt;"&amp;T1)</f>
        <v>0</v>
      </c>
      <c r="T5" s="193">
        <f>SUMIFS('Expenditure Breakdown'!$G$6:$G$402, 'Expenditure Breakdown'!$H$6:$H$402, "&gt;="&amp;T1,'Expenditure Breakdown'!$H$6:$H$402, "&lt;"&amp;U1)</f>
        <v>0</v>
      </c>
      <c r="U5" s="193">
        <f>SUMIFS('Expenditure Breakdown'!$G$6:$G$402, 'Expenditure Breakdown'!$H$6:$H$402, "&gt;="&amp;U1,'Expenditure Breakdown'!$H$6:$H$402, "&lt;"&amp;V1)</f>
        <v>150000</v>
      </c>
      <c r="V5" s="193">
        <f>SUMIFS('Expenditure Breakdown'!$G$6:$G$402, 'Expenditure Breakdown'!$H$6:$H$402, "&gt;="&amp;V1,'Expenditure Breakdown'!$H$6:$H$402, "&lt;"&amp;W1)</f>
        <v>0</v>
      </c>
      <c r="W5" s="193">
        <f>SUMIFS('Expenditure Breakdown'!$G$6:$G$402, 'Expenditure Breakdown'!$H$6:$H$402, "&gt;="&amp;W1,'Expenditure Breakdown'!$H$6:$H$402, "&lt;"&amp;X1)</f>
        <v>0</v>
      </c>
      <c r="X5" s="193">
        <f>SUMIFS('Expenditure Breakdown'!$G$6:$G$402, 'Expenditure Breakdown'!$H$6:$H$402, "&gt;="&amp;X1,'Expenditure Breakdown'!$H$6:$H$402, "&lt;"&amp;Y1)</f>
        <v>80000</v>
      </c>
      <c r="Y5" s="193">
        <f>SUMIFS('Expenditure Breakdown'!$G$6:$G$402, 'Expenditure Breakdown'!$H$6:$H$402, "&gt;="&amp;Y1,'Expenditure Breakdown'!$H$6:$H$402, "&lt;"&amp;Z1)</f>
        <v>0</v>
      </c>
      <c r="Z5" s="193">
        <f>SUMIFS('Expenditure Breakdown'!$G$6:$G$402, 'Expenditure Breakdown'!$H$6:$H$402, "&gt;="&amp;Z1,'Expenditure Breakdown'!$H$6:$H$402, "&lt;"&amp;AA1)</f>
        <v>0</v>
      </c>
      <c r="AA5" s="193">
        <f>SUMIFS('Expenditure Breakdown'!$G$6:$G$402, 'Expenditure Breakdown'!$H$6:$H$402, "&gt;="&amp;AA1,'Expenditure Breakdown'!$H$6:$H$402, "&lt;"&amp;AB1)</f>
        <v>750000</v>
      </c>
      <c r="AB5" s="193">
        <f>SUMIFS('Expenditure Breakdown'!$G$6:$G$402, 'Expenditure Breakdown'!$H$6:$H$402, "&gt;="&amp;AB1,'Expenditure Breakdown'!$H$6:$H$402, "&lt;"&amp;AC1)</f>
        <v>0</v>
      </c>
      <c r="AC5" s="193">
        <f>SUMIFS('Expenditure Breakdown'!$G$6:$G$402, 'Expenditure Breakdown'!$H$6:$H$402, "&gt;="&amp;AC1,'Expenditure Breakdown'!$H$6:$H$402, "&lt;"&amp;AD1)</f>
        <v>0</v>
      </c>
      <c r="AD5" s="193">
        <f>SUMIFS('Expenditure Breakdown'!$G$6:$G$402, 'Expenditure Breakdown'!$H$6:$H$402, "&gt;="&amp;AD1,'Expenditure Breakdown'!$H$6:$H$402, "&lt;"&amp;AE1)</f>
        <v>0</v>
      </c>
      <c r="AE5" s="193">
        <f>SUMIFS('Expenditure Breakdown'!$G$6:$G$402, 'Expenditure Breakdown'!$H$6:$H$402, "&gt;="&amp;AE1,'Expenditure Breakdown'!$H$6:$H$402, "&lt;"&amp;AF1)</f>
        <v>0</v>
      </c>
      <c r="AF5" s="193">
        <f>SUMIFS('Expenditure Breakdown'!$G$6:$G$402, 'Expenditure Breakdown'!$H$6:$H$402, "&gt;="&amp;AF1,'Expenditure Breakdown'!$H$6:$H$402, "&lt;"&amp;AG1)</f>
        <v>0</v>
      </c>
      <c r="AG5" s="193">
        <f>SUMIFS('Expenditure Breakdown'!$G$6:$G$402, 'Expenditure Breakdown'!$H$6:$H$402, "&gt;="&amp;AG1,'Expenditure Breakdown'!$H$6:$H$402, "&lt;"&amp;AH1)</f>
        <v>3974000</v>
      </c>
      <c r="AH5" s="193">
        <f>SUMIFS('Expenditure Breakdown'!$G$6:$G$402, 'Expenditure Breakdown'!$H$6:$H$402, "&gt;="&amp;AH1,'Expenditure Breakdown'!$H$6:$H$402, "&lt;"&amp;AI1)</f>
        <v>0</v>
      </c>
      <c r="AI5" s="193">
        <f>SUMIFS('Expenditure Breakdown'!$G$6:$G$402, 'Expenditure Breakdown'!$H$6:$H$402, "&gt;="&amp;AI1,'Expenditure Breakdown'!$H$6:$H$402, "&lt;"&amp;AJ1)</f>
        <v>0</v>
      </c>
      <c r="AJ5" s="193">
        <f>SUMIFS('Expenditure Breakdown'!$G$6:$G$402, 'Expenditure Breakdown'!$H$6:$H$402, "&gt;="&amp;AJ1,'Expenditure Breakdown'!$H$6:$H$402, "&lt;"&amp;AK1)</f>
        <v>0</v>
      </c>
      <c r="AK5" s="193">
        <f>SUMIFS('Expenditure Breakdown'!$G$6:$G$402, 'Expenditure Breakdown'!$H$6:$H$402, "&gt;="&amp;AK1,'Expenditure Breakdown'!$H$6:$H$402, "&lt;"&amp;AL1)</f>
        <v>22030493.600000001</v>
      </c>
      <c r="AL5" s="193">
        <f>SUMIFS('Expenditure Breakdown'!$G$6:$G$402, 'Expenditure Breakdown'!$H$6:$H$402, "&gt;="&amp;AL1,'Expenditure Breakdown'!$H$6:$H$402, "&lt;"&amp;AM1)</f>
        <v>236075</v>
      </c>
      <c r="AM5" s="193">
        <f>SUMIFS('Expenditure Breakdown'!$G$6:$G$402, 'Expenditure Breakdown'!$H$6:$H$402, "&gt;="&amp;AM1,'Expenditure Breakdown'!$H$6:$H$402, "&lt;"&amp;AN1)</f>
        <v>0</v>
      </c>
      <c r="AN5" s="193">
        <f>SUMIFS('Expenditure Breakdown'!$G$6:$G$402, 'Expenditure Breakdown'!$H$6:$H$402, "&gt;="&amp;AN1,'Expenditure Breakdown'!$H$6:$H$402, "&lt;"&amp;AO1)</f>
        <v>0</v>
      </c>
      <c r="AO5" s="193">
        <f>SUMIFS('Expenditure Breakdown'!$G$6:$G$402, 'Expenditure Breakdown'!$H$6:$H$402, "&gt;="&amp;AO1,'Expenditure Breakdown'!$H$6:$H$402, "&lt;"&amp;AP1)</f>
        <v>0</v>
      </c>
      <c r="AP5" s="193">
        <f>SUMIFS('Expenditure Breakdown'!$G$6:$G$402, 'Expenditure Breakdown'!$H$6:$H$402, "&gt;="&amp;AP1,'Expenditure Breakdown'!$H$6:$H$402, "&lt;"&amp;AQ1)</f>
        <v>59149433.460000001</v>
      </c>
      <c r="AQ5" s="193">
        <f>SUMIFS('Expenditure Breakdown'!$G$6:$G$402, 'Expenditure Breakdown'!$H$6:$H$402, "&gt;="&amp;AQ1,'Expenditure Breakdown'!$H$6:$H$402, "&lt;"&amp;AR1)</f>
        <v>0</v>
      </c>
      <c r="AR5" s="193">
        <f>SUMIFS('Expenditure Breakdown'!$G$6:$G$402, 'Expenditure Breakdown'!$H$6:$H$402, "&gt;="&amp;AR1,'Expenditure Breakdown'!$H$6:$H$402, "&lt;"&amp;AS1)</f>
        <v>0</v>
      </c>
      <c r="AS5" s="193">
        <f>SUMIFS('Expenditure Breakdown'!$G$6:$G$402, 'Expenditure Breakdown'!$H$6:$H$402, "&gt;="&amp;AS1,'Expenditure Breakdown'!$H$6:$H$402, "&lt;"&amp;AT1)</f>
        <v>0</v>
      </c>
      <c r="AT5" s="193">
        <f>SUMIFS('Expenditure Breakdown'!$G$6:$G$402, 'Expenditure Breakdown'!$H$6:$H$402, "&gt;="&amp;AT1,'Expenditure Breakdown'!$H$6:$H$402, "&lt;"&amp;AU1)</f>
        <v>33573214.288651824</v>
      </c>
      <c r="AU5" s="193">
        <f>SUMIFS('Expenditure Breakdown'!$G$6:$G$402, 'Expenditure Breakdown'!$H$6:$H$402, "&gt;="&amp;AU1,'Expenditure Breakdown'!$H$6:$H$402, "&lt;"&amp;AV1)</f>
        <v>0</v>
      </c>
      <c r="AV5" s="193">
        <f>SUMIFS('Expenditure Breakdown'!$G$6:$G$402, 'Expenditure Breakdown'!$H$6:$H$402, "&gt;="&amp;AV1,'Expenditure Breakdown'!$H$6:$H$402, "&lt;"&amp;AW1)</f>
        <v>0</v>
      </c>
      <c r="AW5" s="193">
        <f>SUMIFS('Expenditure Breakdown'!$G$6:$G$402, 'Expenditure Breakdown'!$H$6:$H$402, "&gt;="&amp;AW1,'Expenditure Breakdown'!$H$6:$H$402, "&lt;"&amp;AX1)</f>
        <v>0</v>
      </c>
      <c r="AX5" s="193">
        <f>SUMIFS('Expenditure Breakdown'!$G$6:$G$402, 'Expenditure Breakdown'!$H$6:$H$402, "&gt;="&amp;AX1,'Expenditure Breakdown'!$H$6:$H$402, "&lt;"&amp;AY1)</f>
        <v>6031726.213989215</v>
      </c>
      <c r="AY5" s="193">
        <f>SUMIFS('Expenditure Breakdown'!$G$6:$G$402, 'Expenditure Breakdown'!$H$6:$H$402, "&gt;="&amp;AY1,'Expenditure Breakdown'!$H$6:$H$402, "&lt;"&amp;AZ1)</f>
        <v>0</v>
      </c>
      <c r="AZ5" s="193">
        <f>SUMIFS('Expenditure Breakdown'!$G$6:$G$402, 'Expenditure Breakdown'!$H$6:$H$402, "&gt;="&amp;AZ1,'Expenditure Breakdown'!$H$6:$H$402, "&lt;"&amp;BA1)</f>
        <v>0</v>
      </c>
      <c r="BA5" s="193">
        <f>SUMIFS('Expenditure Breakdown'!$G$6:$G$402, 'Expenditure Breakdown'!$H$6:$H$402, "&gt;="&amp;BA1,'Expenditure Breakdown'!$H$6:$H$402, "&lt;"&amp;BB1)</f>
        <v>0</v>
      </c>
      <c r="BB5" s="193">
        <f>SUMIFS('Expenditure Breakdown'!$G$6:$G$402, 'Expenditure Breakdown'!$H$6:$H$402, "&gt;="&amp;BB1,'Expenditure Breakdown'!$H$6:$H$402, "&lt;"&amp;BC1)</f>
        <v>1077492</v>
      </c>
      <c r="BC5" s="193">
        <f>SUMIFS('Expenditure Breakdown'!$G$6:$G$402, 'Expenditure Breakdown'!$H$6:$H$402, "&gt;="&amp;BC1,'Expenditure Breakdown'!$H$6:$H$402, "&lt;"&amp;BD1)</f>
        <v>0</v>
      </c>
      <c r="BD5" s="193">
        <f>SUMIFS('Expenditure Breakdown'!$G$6:$G$402, 'Expenditure Breakdown'!$H$6:$H$402, "&gt;="&amp;BD1,'Expenditure Breakdown'!$H$6:$H$402, "&lt;"&amp;BE1)</f>
        <v>0</v>
      </c>
      <c r="BE5" s="193">
        <f>SUMIFS('Expenditure Breakdown'!$G$6:$G$402, 'Expenditure Breakdown'!$H$6:$H$402, "&gt;="&amp;BE1,'Expenditure Breakdown'!$H$6:$H$402, "&lt;"&amp;BF1)</f>
        <v>0</v>
      </c>
      <c r="BF5" s="193">
        <f>SUMIFS('Expenditure Breakdown'!$G$6:$G$402, 'Expenditure Breakdown'!$H$6:$H$402, "&gt;="&amp;BF1,'Expenditure Breakdown'!$H$6:$H$402, "&lt;"&amp;BG1)</f>
        <v>0</v>
      </c>
      <c r="BG5" s="193">
        <f>SUMIFS('Expenditure Breakdown'!$G$6:$G$402, 'Expenditure Breakdown'!$H$6:$H$402, "&gt;="&amp;BG1,'Expenditure Breakdown'!$H$6:$H$402, "&lt;"&amp;BH1)</f>
        <v>0</v>
      </c>
      <c r="BH5" s="193">
        <f>SUMIFS('Expenditure Breakdown'!$G$6:$G$402, 'Expenditure Breakdown'!$H$6:$H$402, "&gt;="&amp;BH1,'Expenditure Breakdown'!$H$6:$H$402, "&lt;"&amp;BI1)</f>
        <v>0</v>
      </c>
      <c r="BI5" s="193">
        <f>SUMIFS('Expenditure Breakdown'!$G$6:$G$402, 'Expenditure Breakdown'!$H$6:$H$402, "&gt;="&amp;BI1,'Expenditure Breakdown'!$H$6:$H$402, "&lt;"&amp;BJ1)</f>
        <v>5494710</v>
      </c>
      <c r="BJ5" s="193">
        <f>SUMIFS('Expenditure Breakdown'!$G$6:$G$402, 'Expenditure Breakdown'!$H$6:$H$402, "&gt;="&amp;BJ1,'Expenditure Breakdown'!$H$6:$H$402, "&lt;"&amp;BK1)</f>
        <v>0</v>
      </c>
      <c r="BK5" s="193">
        <f>SUMIFS('Expenditure Breakdown'!$G$6:$G$402, 'Expenditure Breakdown'!$H$6:$H$402, "&gt;="&amp;BK1,'Expenditure Breakdown'!$H$6:$H$402, "&lt;"&amp;BL1)</f>
        <v>3833368.4</v>
      </c>
      <c r="BL5" s="193">
        <f>SUMIFS('Expenditure Breakdown'!$G$6:$G$402, 'Expenditure Breakdown'!$H$6:$H$402, "&gt;="&amp;BL1,'Expenditure Breakdown'!$H$6:$H$402, "&lt;"&amp;BM1)</f>
        <v>0</v>
      </c>
      <c r="BM5" s="193">
        <f>SUMIFS('Expenditure Breakdown'!$G$6:$G$402, 'Expenditure Breakdown'!$H$6:$H$402, "&gt;="&amp;BM1,'Expenditure Breakdown'!$H$6:$H$402, "&lt;"&amp;BN1)</f>
        <v>0</v>
      </c>
      <c r="BN5" s="193">
        <f>SUMIFS('Expenditure Breakdown'!$G$6:$G$402, 'Expenditure Breakdown'!$H$6:$H$402, "&gt;="&amp;BN1,'Expenditure Breakdown'!$H$6:$H$402, "&lt;"&amp;BO1)</f>
        <v>0</v>
      </c>
      <c r="BO5" s="193">
        <f>SUMIFS('Expenditure Breakdown'!$G$6:$G$402, 'Expenditure Breakdown'!$H$6:$H$402, "&gt;="&amp;BO1,'Expenditure Breakdown'!$H$6:$H$402, "&lt;"&amp;BP1)</f>
        <v>0</v>
      </c>
      <c r="BP5" s="193">
        <f>SUMIFS('Expenditure Breakdown'!$G$6:$G$402, 'Expenditure Breakdown'!$H$6:$H$402, "&gt;="&amp;BP1,'Expenditure Breakdown'!$H$6:$H$402, "&lt;"&amp;BQ1)</f>
        <v>0</v>
      </c>
      <c r="BQ5" s="193">
        <f>SUMIFS('Expenditure Breakdown'!$G$6:$G$402, 'Expenditure Breakdown'!$H$6:$H$402, "&gt;="&amp;BQ1,'Expenditure Breakdown'!$H$6:$H$402, "&lt;"&amp;BR1)</f>
        <v>0</v>
      </c>
      <c r="BR5" s="193">
        <f>SUMIFS('Expenditure Breakdown'!$G$6:$G$402, 'Expenditure Breakdown'!$H$6:$H$402, "&gt;="&amp;BR1,'Expenditure Breakdown'!$H$6:$H$402, "&lt;"&amp;BS1)</f>
        <v>0</v>
      </c>
      <c r="BS5" s="193">
        <f>SUMIFS('Expenditure Breakdown'!$G$6:$G$402, 'Expenditure Breakdown'!$H$6:$H$402, "&gt;="&amp;BS1,'Expenditure Breakdown'!$H$6:$H$402, "&lt;"&amp;BT1)</f>
        <v>0</v>
      </c>
      <c r="BT5" s="193">
        <f>SUMIFS('Expenditure Breakdown'!$G$6:$G$402, 'Expenditure Breakdown'!$H$6:$H$402, "&gt;="&amp;BT1,'Expenditure Breakdown'!$H$6:$H$402, "&lt;"&amp;BU1)</f>
        <v>0</v>
      </c>
      <c r="BU5" s="193">
        <f>SUMIFS('Expenditure Breakdown'!$G$6:$G$402, 'Expenditure Breakdown'!$H$6:$H$402, "&gt;="&amp;BU1,'Expenditure Breakdown'!$H$6:$H$402, "&lt;"&amp;BV1)</f>
        <v>0</v>
      </c>
      <c r="BV5" s="193">
        <f>SUMIFS('Expenditure Breakdown'!$G$6:$G$402, 'Expenditure Breakdown'!$H$6:$H$402, "&gt;="&amp;BV1,'Expenditure Breakdown'!$H$6:$H$402, "&lt;"&amp;BW1)</f>
        <v>0</v>
      </c>
      <c r="BW5" s="193">
        <f>SUMIFS('Expenditure Breakdown'!$G$6:$G$402, 'Expenditure Breakdown'!$H$6:$H$402, "&gt;="&amp;BW1,'Expenditure Breakdown'!$H$6:$H$402, "&lt;"&amp;BX1)</f>
        <v>0</v>
      </c>
      <c r="BX5" s="193">
        <f>SUMIFS('Expenditure Breakdown'!$G$6:$G$402, 'Expenditure Breakdown'!$H$6:$H$402, "&gt;="&amp;BX1,'Expenditure Breakdown'!$H$6:$H$402, "&lt;"&amp;BY1)</f>
        <v>0</v>
      </c>
      <c r="BY5" s="193">
        <f>SUMIFS('Expenditure Breakdown'!$G$6:$G$402, 'Expenditure Breakdown'!$H$6:$H$402, "&gt;="&amp;BY1,'Expenditure Breakdown'!$H$6:$H$402, "&lt;"&amp;BZ1)</f>
        <v>0</v>
      </c>
      <c r="BZ5" s="193">
        <f>SUMIFS('Expenditure Breakdown'!$G$6:$G$402, 'Expenditure Breakdown'!$H$6:$H$402, "&gt;="&amp;BZ1,'Expenditure Breakdown'!$H$6:$H$402, "&lt;"&amp;CA1)</f>
        <v>0</v>
      </c>
      <c r="CA5" s="193">
        <f>SUMIFS('Expenditure Breakdown'!$G$6:$G$402, 'Expenditure Breakdown'!$H$6:$H$402, "&gt;="&amp;CA1,'Expenditure Breakdown'!$H$6:$H$402, "&lt;"&amp;CB1)</f>
        <v>0</v>
      </c>
      <c r="CB5" s="193">
        <f>SUMIFS('Expenditure Breakdown'!$G$6:$G$402, 'Expenditure Breakdown'!$H$6:$H$402, "&gt;="&amp;CB1,'Expenditure Breakdown'!$H$6:$H$402, "&lt;"&amp;CC1)</f>
        <v>0</v>
      </c>
      <c r="CC5" s="193">
        <f>SUMIFS('Expenditure Breakdown'!$G$6:$G$402, 'Expenditure Breakdown'!$H$6:$H$402, "&gt;="&amp;CC1,'Expenditure Breakdown'!$H$6:$H$402, "&lt;"&amp;CD1)</f>
        <v>0</v>
      </c>
      <c r="CD5" s="193">
        <f>SUMIFS('Expenditure Breakdown'!$G$6:$G$402, 'Expenditure Breakdown'!$H$6:$H$402, "&gt;="&amp;CD1,'Expenditure Breakdown'!$H$6:$H$402, "&lt;"&amp;CE1)</f>
        <v>0</v>
      </c>
      <c r="CE5" s="193">
        <f>SUMIFS('Expenditure Breakdown'!$G$6:$G$402, 'Expenditure Breakdown'!$H$6:$H$402, "&gt;="&amp;CE1,'Expenditure Breakdown'!$H$6:$H$402, "&lt;"&amp;CF1)</f>
        <v>0</v>
      </c>
      <c r="CF5" s="193">
        <f>SUMIFS('Expenditure Breakdown'!$G$6:$G$402, 'Expenditure Breakdown'!$H$6:$H$402, "&gt;="&amp;CF1,'Expenditure Breakdown'!$H$6:$H$402, "&lt;"&amp;CG1)</f>
        <v>0</v>
      </c>
      <c r="CG5" s="193">
        <f>SUMIFS('Expenditure Breakdown'!$G$6:$G$402, 'Expenditure Breakdown'!$H$6:$H$402, "&gt;="&amp;CG1,'Expenditure Breakdown'!$H$6:$H$402, "&lt;"&amp;CH1)</f>
        <v>0</v>
      </c>
      <c r="CH5" s="193">
        <f>SUMIFS('Expenditure Breakdown'!$G$6:$G$402, 'Expenditure Breakdown'!$H$6:$H$402, "&gt;="&amp;CH1,'Expenditure Breakdown'!$H$6:$H$402, "&lt;"&amp;CI1)</f>
        <v>0</v>
      </c>
      <c r="CI5" s="193">
        <f>SUMIFS('Expenditure Breakdown'!$G$6:$G$402, 'Expenditure Breakdown'!$H$6:$H$402, "&gt;="&amp;CI1,'Expenditure Breakdown'!$H$6:$H$402, "&lt;"&amp;CJ1)</f>
        <v>0</v>
      </c>
      <c r="CJ5" s="193">
        <f>SUMIFS('Expenditure Breakdown'!$G$6:$G$402, 'Expenditure Breakdown'!$H$6:$H$402, "&gt;="&amp;CJ1,'Expenditure Breakdown'!$H$6:$H$402, "&lt;"&amp;CK1)</f>
        <v>0</v>
      </c>
      <c r="CK5" s="193">
        <f>SUMIFS('Expenditure Breakdown'!$G$6:$G$402, 'Expenditure Breakdown'!$H$6:$H$402, "&gt;="&amp;CK1,'Expenditure Breakdown'!$H$6:$H$402, "&lt;"&amp;CL1)</f>
        <v>0</v>
      </c>
      <c r="CL5" s="193">
        <f>SUMIFS('Expenditure Breakdown'!$G$6:$G$402, 'Expenditure Breakdown'!$H$6:$H$402, "&gt;="&amp;CL1,'Expenditure Breakdown'!$H$6:$H$402, "&lt;"&amp;CM1)</f>
        <v>0</v>
      </c>
      <c r="CM5" s="193">
        <f>SUMIFS('Expenditure Breakdown'!$G$6:$G$402, 'Expenditure Breakdown'!$H$6:$H$402, "&gt;="&amp;CM1,'Expenditure Breakdown'!$H$6:$H$402, "&lt;"&amp;CN1)</f>
        <v>0</v>
      </c>
      <c r="CN5" s="193">
        <f>SUMIFS('Expenditure Breakdown'!$G$6:$G$402, 'Expenditure Breakdown'!$H$6:$H$402, "&gt;="&amp;CN1,'Expenditure Breakdown'!$H$6:$H$402, "&lt;"&amp;CO1)</f>
        <v>0</v>
      </c>
      <c r="CO5" s="193">
        <f>SUMIFS('Expenditure Breakdown'!$G$6:$G$402, 'Expenditure Breakdown'!$H$6:$H$402, "&gt;="&amp;CO1,'Expenditure Breakdown'!$H$6:$H$402, "&lt;"&amp;CP1)</f>
        <v>0</v>
      </c>
      <c r="CP5" s="193">
        <f>SUMIFS('Expenditure Breakdown'!$G$6:$G$402, 'Expenditure Breakdown'!$H$6:$H$402, "&gt;="&amp;CP1,'Expenditure Breakdown'!$H$6:$H$402, "&lt;"&amp;CQ1)</f>
        <v>0</v>
      </c>
      <c r="CQ5" s="193">
        <f>SUMIFS('Expenditure Breakdown'!$G$6:$G$402, 'Expenditure Breakdown'!$H$6:$H$402, "&gt;="&amp;CQ1,'Expenditure Breakdown'!$H$6:$H$402, "&lt;"&amp;CR1)</f>
        <v>0</v>
      </c>
      <c r="CR5" s="193">
        <f>SUMIFS('Expenditure Breakdown'!$G$6:$G$402, 'Expenditure Breakdown'!$H$6:$H$402, "&gt;="&amp;CR1,'Expenditure Breakdown'!$H$6:$H$402, "&lt;"&amp;CS1)</f>
        <v>0</v>
      </c>
      <c r="CS5" s="193">
        <f>SUMIFS('Expenditure Breakdown'!$G$6:$G$402, 'Expenditure Breakdown'!$H$6:$H$402, "&gt;="&amp;CS1,'Expenditure Breakdown'!$H$6:$H$402, "&lt;"&amp;CT1)</f>
        <v>0</v>
      </c>
      <c r="CT5" s="193">
        <f>SUMIFS('Expenditure Breakdown'!$G$6:$G$402, 'Expenditure Breakdown'!$H$6:$H$402, "&gt;="&amp;CT1,'Expenditure Breakdown'!$H$6:$H$402, "&lt;"&amp;CU1)</f>
        <v>0</v>
      </c>
      <c r="CU5" s="193">
        <f>SUMIFS('Expenditure Breakdown'!$G$6:$G$402, 'Expenditure Breakdown'!$H$6:$H$402, "&gt;="&amp;CU1,'Expenditure Breakdown'!$H$6:$H$402, "&lt;"&amp;CV1)</f>
        <v>0</v>
      </c>
      <c r="CV5" s="193">
        <f>SUMIFS('Expenditure Breakdown'!$G$6:$G$402, 'Expenditure Breakdown'!$H$6:$H$402, "&gt;="&amp;CV1,'Expenditure Breakdown'!$H$6:$H$402, "&lt;"&amp;CW1)</f>
        <v>0</v>
      </c>
      <c r="CW5" s="193">
        <f>SUMIFS('Expenditure Breakdown'!$G$6:$G$402, 'Expenditure Breakdown'!$H$6:$H$402, "&gt;="&amp;CW1,'Expenditure Breakdown'!$H$6:$H$402, "&lt;"&amp;CX1)</f>
        <v>0</v>
      </c>
      <c r="CX5" s="193">
        <f>SUMIFS('Expenditure Breakdown'!$G$6:$G$402, 'Expenditure Breakdown'!$H$6:$H$402, "&gt;="&amp;CX1,'Expenditure Breakdown'!$H$6:$H$402, "&lt;"&amp;CY1)</f>
        <v>0</v>
      </c>
      <c r="CY5" s="193">
        <f>SUMIFS('Expenditure Breakdown'!$G$6:$G$402, 'Expenditure Breakdown'!$H$6:$H$402, "&gt;="&amp;CY1,'Expenditure Breakdown'!$H$6:$H$402, "&lt;"&amp;CZ1)</f>
        <v>0</v>
      </c>
      <c r="CZ5" s="193">
        <f>SUMIFS('Expenditure Breakdown'!$G$6:$G$402, 'Expenditure Breakdown'!$H$6:$H$402, "&gt;="&amp;CZ1,'Expenditure Breakdown'!$H$6:$H$402, "&lt;"&amp;DA1)</f>
        <v>0</v>
      </c>
      <c r="DA5" s="193">
        <f>SUMIFS('Expenditure Breakdown'!$G$6:$G$402, 'Expenditure Breakdown'!$H$6:$H$402, "&gt;="&amp;DA1,'Expenditure Breakdown'!$H$6:$H$402, "&lt;"&amp;DB1)</f>
        <v>0</v>
      </c>
      <c r="DB5" s="193">
        <f>SUMIFS('Expenditure Breakdown'!$G$6:$G$402, 'Expenditure Breakdown'!$H$6:$H$402, "&gt;="&amp;DB1,'Expenditure Breakdown'!$H$6:$H$402, "&lt;"&amp;DC1)</f>
        <v>0</v>
      </c>
      <c r="DC5" s="193">
        <f>SUMIFS('Expenditure Breakdown'!$G$6:$G$402, 'Expenditure Breakdown'!$H$6:$H$402, "&gt;="&amp;DC1,'Expenditure Breakdown'!$H$6:$H$402, "&lt;"&amp;DD1)</f>
        <v>0</v>
      </c>
      <c r="DD5" s="193">
        <f>SUMIFS('Expenditure Breakdown'!$G$6:$G$402, 'Expenditure Breakdown'!$H$6:$H$402, "&gt;="&amp;DD1,'Expenditure Breakdown'!$H$6:$H$402, "&lt;"&amp;FE1)</f>
        <v>0</v>
      </c>
      <c r="DE5" s="193">
        <f>SUMIFS('Expenditure Breakdown'!$G$6:$G$402, 'Expenditure Breakdown'!$H$6:$H$402, "&gt;="&amp;DE1,'Expenditure Breakdown'!$H$6:$H$402, "&lt;"&amp;FF1)</f>
        <v>0</v>
      </c>
      <c r="DF5" s="193">
        <f>SUMIFS('Expenditure Breakdown'!$G$6:$G$402, 'Expenditure Breakdown'!$H$6:$H$402, "&gt;="&amp;DF1,'Expenditure Breakdown'!$H$6:$H$402, "&lt;"&amp;FG1)</f>
        <v>0</v>
      </c>
      <c r="DG5" s="193">
        <f>SUMIFS('Expenditure Breakdown'!$G$6:$G$402, 'Expenditure Breakdown'!$H$6:$H$402, "&gt;="&amp;DG1,'Expenditure Breakdown'!$H$6:$H$402, "&lt;"&amp;FH1)</f>
        <v>0</v>
      </c>
      <c r="DH5" s="193">
        <f>SUMIFS('Expenditure Breakdown'!$G$6:$G$402, 'Expenditure Breakdown'!$H$6:$H$402, "&gt;="&amp;DH1,'Expenditure Breakdown'!$H$6:$H$402, "&lt;"&amp;FI1)</f>
        <v>0</v>
      </c>
      <c r="DI5" s="193">
        <f>SUMIFS('Expenditure Breakdown'!$G$6:$G$402, 'Expenditure Breakdown'!$H$6:$H$402, "&gt;="&amp;DI1,'Expenditure Breakdown'!$H$6:$H$402, "&lt;"&amp;FJ1)</f>
        <v>0</v>
      </c>
      <c r="DJ5" s="193">
        <f>SUMIFS('Expenditure Breakdown'!$G$6:$G$402, 'Expenditure Breakdown'!$H$6:$H$402, "&gt;="&amp;DJ1,'Expenditure Breakdown'!$H$6:$H$402, "&lt;"&amp;FK1)</f>
        <v>0</v>
      </c>
      <c r="DK5" s="193">
        <f>SUMIFS('Expenditure Breakdown'!$G$6:$G$402, 'Expenditure Breakdown'!$H$6:$H$402, "&gt;="&amp;DK1,'Expenditure Breakdown'!$H$6:$H$402, "&lt;"&amp;FL1)</f>
        <v>0</v>
      </c>
      <c r="DL5" s="193">
        <f>SUMIFS('Expenditure Breakdown'!$G$6:$G$402, 'Expenditure Breakdown'!$H$6:$H$402, "&gt;="&amp;DL1,'Expenditure Breakdown'!$H$6:$H$402, "&lt;"&amp;FM1)</f>
        <v>0</v>
      </c>
      <c r="DM5" s="193">
        <f>SUMIFS('Expenditure Breakdown'!$G$6:$G$402, 'Expenditure Breakdown'!$H$6:$H$402, "&gt;="&amp;DM1,'Expenditure Breakdown'!$H$6:$H$402, "&lt;"&amp;FN1)</f>
        <v>0</v>
      </c>
      <c r="DN5" s="193">
        <f>SUMIFS('Expenditure Breakdown'!$G$6:$G$402, 'Expenditure Breakdown'!$H$6:$H$402, "&gt;="&amp;DN1,'Expenditure Breakdown'!$H$6:$H$402, "&lt;"&amp;FO1)</f>
        <v>0</v>
      </c>
      <c r="DO5" s="193">
        <f>SUMIFS('Expenditure Breakdown'!$G$6:$G$402, 'Expenditure Breakdown'!$H$6:$H$402, "&gt;="&amp;DO1,'Expenditure Breakdown'!$H$6:$H$402, "&lt;"&amp;FP1)</f>
        <v>0</v>
      </c>
      <c r="DP5" s="193">
        <f>SUMIFS('Expenditure Breakdown'!$G$6:$G$402, 'Expenditure Breakdown'!$H$6:$H$402, "&gt;="&amp;DP1,'Expenditure Breakdown'!$H$6:$H$402, "&lt;"&amp;FQ1)</f>
        <v>0</v>
      </c>
      <c r="DQ5" s="193">
        <f>SUMIFS('Expenditure Breakdown'!$G$6:$G$402, 'Expenditure Breakdown'!$H$6:$H$402, "&gt;="&amp;DQ1,'Expenditure Breakdown'!$H$6:$H$402, "&lt;"&amp;FR1)</f>
        <v>0</v>
      </c>
      <c r="DR5" s="193">
        <f>SUMIFS('Expenditure Breakdown'!$G$6:$G$402, 'Expenditure Breakdown'!$H$6:$H$402, "&gt;="&amp;DR1,'Expenditure Breakdown'!$H$6:$H$402, "&lt;"&amp;FS1)</f>
        <v>0</v>
      </c>
      <c r="DS5" s="193">
        <f>SUMIFS('Expenditure Breakdown'!$G$6:$G$402, 'Expenditure Breakdown'!$H$6:$H$402, "&gt;="&amp;DS1,'Expenditure Breakdown'!$H$6:$H$402, "&lt;"&amp;FT1)</f>
        <v>0</v>
      </c>
      <c r="DT5" s="193">
        <f>SUMIFS('Expenditure Breakdown'!$G$6:$G$402, 'Expenditure Breakdown'!$H$6:$H$402, "&gt;="&amp;DT1,'Expenditure Breakdown'!$H$6:$H$402, "&lt;"&amp;FU1)</f>
        <v>0</v>
      </c>
      <c r="DU5" s="193">
        <f>SUMIFS('Expenditure Breakdown'!$G$6:$G$402, 'Expenditure Breakdown'!$H$6:$H$402, "&gt;="&amp;DU1,'Expenditure Breakdown'!$H$6:$H$402, "&lt;"&amp;FV1)</f>
        <v>0</v>
      </c>
      <c r="DV5" s="193">
        <f>SUMIFS('Expenditure Breakdown'!$G$6:$G$402, 'Expenditure Breakdown'!$H$6:$H$402, "&gt;="&amp;DV1,'Expenditure Breakdown'!$H$6:$H$402, "&lt;"&amp;FW1)</f>
        <v>0</v>
      </c>
      <c r="DW5" s="193">
        <f>SUMIFS('Expenditure Breakdown'!$G$6:$G$402, 'Expenditure Breakdown'!$H$6:$H$402, "&gt;="&amp;DW1,'Expenditure Breakdown'!$H$6:$H$402, "&lt;"&amp;FX1)</f>
        <v>0</v>
      </c>
      <c r="DX5" s="193">
        <f>SUMIFS('Expenditure Breakdown'!$G$6:$G$402, 'Expenditure Breakdown'!$H$6:$H$402, "&gt;="&amp;DX1,'Expenditure Breakdown'!$H$6:$H$402, "&lt;"&amp;FY1)</f>
        <v>0</v>
      </c>
      <c r="DY5" s="193">
        <f>SUMIFS('Expenditure Breakdown'!$G$6:$G$402, 'Expenditure Breakdown'!$H$6:$H$402, "&gt;="&amp;DY1,'Expenditure Breakdown'!$H$6:$H$402, "&lt;"&amp;FZ1)</f>
        <v>0</v>
      </c>
      <c r="DZ5" s="193">
        <f>SUMIFS('Expenditure Breakdown'!$G$6:$G$402, 'Expenditure Breakdown'!$H$6:$H$402, "&gt;="&amp;DZ1,'Expenditure Breakdown'!$H$6:$H$402, "&lt;"&amp;GA1)</f>
        <v>0</v>
      </c>
      <c r="EA5" s="193">
        <f>SUMIFS('Expenditure Breakdown'!$G$6:$G$402, 'Expenditure Breakdown'!$H$6:$H$402, "&gt;="&amp;EA1,'Expenditure Breakdown'!$H$6:$H$402, "&lt;"&amp;GB1)</f>
        <v>0</v>
      </c>
      <c r="EB5" s="193">
        <f>SUMIFS('Expenditure Breakdown'!$G$6:$G$402, 'Expenditure Breakdown'!$H$6:$H$402, "&gt;="&amp;EB1,'Expenditure Breakdown'!$H$6:$H$402, "&lt;"&amp;GC1)</f>
        <v>0</v>
      </c>
      <c r="EC5" s="193">
        <f>SUMIFS('Expenditure Breakdown'!$G$6:$G$402, 'Expenditure Breakdown'!$H$6:$H$402, "&gt;="&amp;EC1,'Expenditure Breakdown'!$H$6:$H$402, "&lt;"&amp;GD1)</f>
        <v>0</v>
      </c>
      <c r="ED5" s="193">
        <f>SUMIFS('Expenditure Breakdown'!$G$6:$G$402, 'Expenditure Breakdown'!$H$6:$H$402, "&gt;="&amp;ED1,'Expenditure Breakdown'!$H$6:$H$402, "&lt;"&amp;GE1)</f>
        <v>0</v>
      </c>
      <c r="EE5" s="193">
        <f>SUMIFS('Expenditure Breakdown'!$G$6:$G$402, 'Expenditure Breakdown'!$H$6:$H$402, "&gt;="&amp;EE1,'Expenditure Breakdown'!$H$6:$H$402, "&lt;"&amp;GF1)</f>
        <v>0</v>
      </c>
      <c r="EF5" s="193">
        <f>SUMIFS('Expenditure Breakdown'!$G$6:$G$402, 'Expenditure Breakdown'!$H$6:$H$402, "&gt;="&amp;EF1,'Expenditure Breakdown'!$H$6:$H$402, "&lt;"&amp;GG1)</f>
        <v>0</v>
      </c>
      <c r="EG5" s="193">
        <f>SUMIFS('Expenditure Breakdown'!$G$6:$G$402, 'Expenditure Breakdown'!$H$6:$H$402, "&gt;="&amp;EG1,'Expenditure Breakdown'!$H$6:$H$402, "&lt;"&amp;GH1)</f>
        <v>0</v>
      </c>
      <c r="EH5" s="193">
        <f>SUMIFS('Expenditure Breakdown'!$G$6:$G$402, 'Expenditure Breakdown'!$H$6:$H$402, "&gt;="&amp;EH1,'Expenditure Breakdown'!$H$6:$H$402, "&lt;"&amp;GI1)</f>
        <v>0</v>
      </c>
      <c r="EI5" s="193">
        <f>SUMIFS('Expenditure Breakdown'!$G$6:$G$402, 'Expenditure Breakdown'!$H$6:$H$402, "&gt;="&amp;EI1,'Expenditure Breakdown'!$H$6:$H$402, "&lt;"&amp;GJ1)</f>
        <v>0</v>
      </c>
      <c r="EJ5" s="193">
        <f>SUMIFS('Expenditure Breakdown'!$G$6:$G$402, 'Expenditure Breakdown'!$H$6:$H$402, "&gt;="&amp;EJ1,'Expenditure Breakdown'!$H$6:$H$402, "&lt;"&amp;GK1)</f>
        <v>0</v>
      </c>
      <c r="EK5" s="193">
        <f>SUMIFS('Expenditure Breakdown'!$G$6:$G$402, 'Expenditure Breakdown'!$H$6:$H$402, "&gt;="&amp;EK1,'Expenditure Breakdown'!$H$6:$H$402, "&lt;"&amp;GL1)</f>
        <v>0</v>
      </c>
      <c r="EL5" s="193">
        <f>SUMIFS('Expenditure Breakdown'!$G$6:$G$402, 'Expenditure Breakdown'!$H$6:$H$402, "&gt;="&amp;EL1,'Expenditure Breakdown'!$H$6:$H$402, "&lt;"&amp;GM1)</f>
        <v>0</v>
      </c>
      <c r="EM5" s="193">
        <f>SUMIFS('Expenditure Breakdown'!$G$6:$G$402, 'Expenditure Breakdown'!$H$6:$H$402, "&gt;="&amp;EM1,'Expenditure Breakdown'!$H$6:$H$402, "&lt;"&amp;GN1)</f>
        <v>0</v>
      </c>
      <c r="EN5" s="193">
        <f>SUMIFS('Expenditure Breakdown'!$G$6:$G$402, 'Expenditure Breakdown'!$H$6:$H$402, "&gt;="&amp;EN1,'Expenditure Breakdown'!$H$6:$H$402, "&lt;"&amp;GO1)</f>
        <v>0</v>
      </c>
      <c r="EO5" s="193">
        <f>SUMIFS('Expenditure Breakdown'!$G$6:$G$402, 'Expenditure Breakdown'!$H$6:$H$402, "&gt;="&amp;EO1,'Expenditure Breakdown'!$H$6:$H$402, "&lt;"&amp;GP1)</f>
        <v>0</v>
      </c>
      <c r="EP5" s="193">
        <f>SUMIFS('Expenditure Breakdown'!$G$6:$G$402, 'Expenditure Breakdown'!$H$6:$H$402, "&gt;="&amp;EP1,'Expenditure Breakdown'!$H$6:$H$402, "&lt;"&amp;GQ1)</f>
        <v>0</v>
      </c>
      <c r="EQ5" s="193">
        <f>SUMIFS('Expenditure Breakdown'!$G$6:$G$402, 'Expenditure Breakdown'!$H$6:$H$402, "&gt;="&amp;EQ1,'Expenditure Breakdown'!$H$6:$H$402, "&lt;"&amp;GR1)</f>
        <v>0</v>
      </c>
      <c r="ER5" s="193">
        <f>SUMIFS('Expenditure Breakdown'!$G$6:$G$402, 'Expenditure Breakdown'!$H$6:$H$402, "&gt;="&amp;ER1,'Expenditure Breakdown'!$H$6:$H$402, "&lt;"&amp;GS1)</f>
        <v>0</v>
      </c>
      <c r="ES5" s="193">
        <f>SUMIFS('Expenditure Breakdown'!$G$6:$G$402, 'Expenditure Breakdown'!$H$6:$H$402, "&gt;="&amp;ES1,'Expenditure Breakdown'!$H$6:$H$402, "&lt;"&amp;GT1)</f>
        <v>0</v>
      </c>
      <c r="ET5" s="193">
        <f>SUMIFS('Expenditure Breakdown'!$G$6:$G$402, 'Expenditure Breakdown'!$H$6:$H$402, "&gt;="&amp;ET1,'Expenditure Breakdown'!$H$6:$H$402, "&lt;"&amp;GU1)</f>
        <v>0</v>
      </c>
      <c r="EU5" s="193">
        <f>SUMIFS('Expenditure Breakdown'!$G$6:$G$402, 'Expenditure Breakdown'!$H$6:$H$402, "&gt;="&amp;EU1,'Expenditure Breakdown'!$H$6:$H$402, "&lt;"&amp;GV1)</f>
        <v>0</v>
      </c>
      <c r="EV5" s="193">
        <f>SUMIFS('Expenditure Breakdown'!$G$6:$G$402, 'Expenditure Breakdown'!$H$6:$H$402, "&gt;="&amp;EV1,'Expenditure Breakdown'!$H$6:$H$402, "&lt;"&amp;GW1)</f>
        <v>0</v>
      </c>
      <c r="EW5" s="193">
        <f>SUMIFS('Expenditure Breakdown'!$G$6:$G$402, 'Expenditure Breakdown'!$H$6:$H$402, "&gt;="&amp;EW1,'Expenditure Breakdown'!$H$6:$H$402, "&lt;"&amp;GX1)</f>
        <v>0</v>
      </c>
      <c r="EX5" s="193">
        <f>SUMIFS('Expenditure Breakdown'!$G$6:$G$402, 'Expenditure Breakdown'!$H$6:$H$402, "&gt;="&amp;EX1,'Expenditure Breakdown'!$H$6:$H$402, "&lt;"&amp;GY1)</f>
        <v>0</v>
      </c>
      <c r="EY5" s="193">
        <f>SUMIFS('Expenditure Breakdown'!$G$6:$G$402, 'Expenditure Breakdown'!$H$6:$H$402, "&gt;="&amp;EY1,'Expenditure Breakdown'!$H$6:$H$402, "&lt;"&amp;GZ1)</f>
        <v>0</v>
      </c>
      <c r="EZ5" s="193">
        <f>SUMIFS('Expenditure Breakdown'!$G$6:$G$402, 'Expenditure Breakdown'!$H$6:$H$402, "&gt;="&amp;EZ1,'Expenditure Breakdown'!$H$6:$H$402, "&lt;"&amp;HA1)</f>
        <v>0</v>
      </c>
      <c r="FA5" s="193">
        <f>SUMIFS('Expenditure Breakdown'!$G$6:$G$402, 'Expenditure Breakdown'!$H$6:$H$402, "&gt;="&amp;FA1,'Expenditure Breakdown'!$H$6:$H$402, "&lt;"&amp;HB1)</f>
        <v>0</v>
      </c>
      <c r="FB5" s="193">
        <f>SUMIFS('Expenditure Breakdown'!$G$6:$G$402, 'Expenditure Breakdown'!$H$6:$H$402, "&gt;="&amp;FB1,'Expenditure Breakdown'!$H$6:$H$402, "&lt;"&amp;HC1)</f>
        <v>0</v>
      </c>
      <c r="FC5" s="193">
        <f>SUMIFS('Expenditure Breakdown'!$G$6:$G$402, 'Expenditure Breakdown'!$H$6:$H$402, "&gt;="&amp;FC1,'Expenditure Breakdown'!$H$6:$H$402, "&lt;"&amp;HD1)</f>
        <v>0</v>
      </c>
      <c r="FD5" s="193">
        <f>SUMIFS('Expenditure Breakdown'!$G$6:$G$402, 'Expenditure Breakdown'!$H$6:$H$402, "&gt;="&amp;FD1,'Expenditure Breakdown'!$H$6:$H$402, "&lt;"&amp;HE1)</f>
        <v>0</v>
      </c>
      <c r="FE5" s="183"/>
      <c r="FF5" s="194"/>
      <c r="FG5" s="194"/>
    </row>
    <row r="6" spans="1:638" s="195" customFormat="1" ht="15" customHeight="1">
      <c r="A6" s="1016"/>
      <c r="B6" s="191" t="s">
        <v>1304</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1016"/>
      <c r="B7" s="196" t="s">
        <v>1305</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-91120512.962641031</v>
      </c>
      <c r="BL7" s="199">
        <f t="shared" si="169"/>
        <v>-91120512.962641031</v>
      </c>
      <c r="BM7" s="199">
        <f t="shared" si="169"/>
        <v>-91120512.962641031</v>
      </c>
      <c r="BN7" s="199">
        <f t="shared" si="169"/>
        <v>-91120512.962641031</v>
      </c>
      <c r="BO7" s="199">
        <f t="shared" si="169"/>
        <v>-87120512.962641031</v>
      </c>
      <c r="BP7" s="199">
        <f t="shared" si="169"/>
        <v>-87120512.962641031</v>
      </c>
      <c r="BQ7" s="199">
        <f t="shared" si="169"/>
        <v>-87120512.962641031</v>
      </c>
      <c r="BR7" s="199">
        <f t="shared" si="169"/>
        <v>-87120512.962641031</v>
      </c>
      <c r="BS7" s="199">
        <f t="shared" si="169"/>
        <v>-72120512.962641031</v>
      </c>
      <c r="BT7" s="199">
        <f t="shared" si="169"/>
        <v>-72120512.962641031</v>
      </c>
      <c r="BU7" s="199">
        <f t="shared" ref="BU7:DB7" si="170">BU4-BU6</f>
        <v>-58220512.962641031</v>
      </c>
      <c r="BV7" s="199">
        <f t="shared" si="170"/>
        <v>-58220512.962641031</v>
      </c>
      <c r="BW7" s="199">
        <f t="shared" si="170"/>
        <v>-58220512.962641031</v>
      </c>
      <c r="BX7" s="199">
        <f t="shared" si="170"/>
        <v>-42220512.962641031</v>
      </c>
      <c r="BY7" s="199">
        <f t="shared" si="170"/>
        <v>-42220512.962641031</v>
      </c>
      <c r="BZ7" s="199">
        <f t="shared" si="170"/>
        <v>-42220512.962641031</v>
      </c>
      <c r="CA7" s="199">
        <f t="shared" si="170"/>
        <v>-42220512.962641031</v>
      </c>
      <c r="CB7" s="199">
        <f t="shared" si="170"/>
        <v>-42220512.962641031</v>
      </c>
      <c r="CC7" s="199">
        <f t="shared" si="170"/>
        <v>-42220512.962641031</v>
      </c>
      <c r="CD7" s="199">
        <f t="shared" si="170"/>
        <v>-42220512.962641031</v>
      </c>
      <c r="CE7" s="199">
        <f t="shared" si="170"/>
        <v>-33220512.962641031</v>
      </c>
      <c r="CF7" s="199">
        <f t="shared" si="170"/>
        <v>-33220512.962641031</v>
      </c>
      <c r="CG7" s="199">
        <f t="shared" si="170"/>
        <v>-26220512.962641031</v>
      </c>
      <c r="CH7" s="199">
        <f t="shared" si="170"/>
        <v>-26220512.962641031</v>
      </c>
      <c r="CI7" s="199">
        <f t="shared" si="170"/>
        <v>-18720512.962641031</v>
      </c>
      <c r="CJ7" s="199">
        <f t="shared" si="170"/>
        <v>-18720512.962641031</v>
      </c>
      <c r="CK7" s="199">
        <f t="shared" si="170"/>
        <v>-13220512.962641031</v>
      </c>
      <c r="CL7" s="199">
        <f t="shared" si="170"/>
        <v>-13220512.962641031</v>
      </c>
      <c r="CM7" s="199">
        <f t="shared" si="170"/>
        <v>-1720512.9626410306</v>
      </c>
      <c r="CN7" s="199">
        <f t="shared" si="170"/>
        <v>-1720512.9626410306</v>
      </c>
      <c r="CO7" s="199">
        <f t="shared" si="170"/>
        <v>-220512.96264103055</v>
      </c>
      <c r="CP7" s="199">
        <f t="shared" si="170"/>
        <v>-220512.96264103055</v>
      </c>
      <c r="CQ7" s="199">
        <f t="shared" si="170"/>
        <v>-220512.96264103055</v>
      </c>
      <c r="CR7" s="199">
        <f t="shared" si="170"/>
        <v>-220512.96264103055</v>
      </c>
      <c r="CS7" s="199">
        <f t="shared" si="170"/>
        <v>-220512.96264103055</v>
      </c>
      <c r="CT7" s="199">
        <f t="shared" si="170"/>
        <v>-220512.96264103055</v>
      </c>
      <c r="CU7" s="199">
        <f t="shared" si="170"/>
        <v>-220512.96264103055</v>
      </c>
      <c r="CV7" s="199">
        <f t="shared" si="170"/>
        <v>-220512.96264103055</v>
      </c>
      <c r="CW7" s="199">
        <f t="shared" si="170"/>
        <v>-220512.96264103055</v>
      </c>
      <c r="CX7" s="199">
        <f t="shared" si="170"/>
        <v>-220512.96264103055</v>
      </c>
      <c r="CY7" s="199">
        <f t="shared" si="170"/>
        <v>-220512.96264103055</v>
      </c>
      <c r="CZ7" s="199">
        <f t="shared" si="170"/>
        <v>-220512.96264103055</v>
      </c>
      <c r="DA7" s="199">
        <f t="shared" si="170"/>
        <v>-220512.96264103055</v>
      </c>
      <c r="DB7" s="199">
        <f t="shared" si="170"/>
        <v>-220512.96264103055</v>
      </c>
      <c r="DC7" s="199">
        <f t="shared" ref="DC7:DD7" si="171">DC4-DC6</f>
        <v>-220512.96264103055</v>
      </c>
      <c r="DD7" s="199">
        <f t="shared" si="171"/>
        <v>-220512.96264103055</v>
      </c>
      <c r="DE7" s="199">
        <f t="shared" ref="DE7:EE7" si="172">DE4-DE6</f>
        <v>-220512.96264103055</v>
      </c>
      <c r="DF7" s="199">
        <f t="shared" si="172"/>
        <v>-220512.96264103055</v>
      </c>
      <c r="DG7" s="199">
        <f t="shared" si="172"/>
        <v>-220512.96264103055</v>
      </c>
      <c r="DH7" s="199">
        <f t="shared" si="172"/>
        <v>-220512.96264103055</v>
      </c>
      <c r="DI7" s="199">
        <f t="shared" si="172"/>
        <v>-220512.96264103055</v>
      </c>
      <c r="DJ7" s="199">
        <f t="shared" si="172"/>
        <v>-220512.96264103055</v>
      </c>
      <c r="DK7" s="199">
        <f t="shared" si="172"/>
        <v>-220512.96264103055</v>
      </c>
      <c r="DL7" s="199">
        <f t="shared" si="172"/>
        <v>-220512.96264103055</v>
      </c>
      <c r="DM7" s="199">
        <f t="shared" si="172"/>
        <v>-220512.96264103055</v>
      </c>
      <c r="DN7" s="199">
        <f t="shared" si="172"/>
        <v>-220512.96264103055</v>
      </c>
      <c r="DO7" s="199">
        <f t="shared" si="172"/>
        <v>-220512.96264103055</v>
      </c>
      <c r="DP7" s="199">
        <f t="shared" si="172"/>
        <v>-220512.96264103055</v>
      </c>
      <c r="DQ7" s="199">
        <f t="shared" si="172"/>
        <v>-220512.96264103055</v>
      </c>
      <c r="DR7" s="199">
        <f t="shared" si="172"/>
        <v>-220512.96264103055</v>
      </c>
      <c r="DS7" s="199">
        <f t="shared" si="172"/>
        <v>-220512.96264103055</v>
      </c>
      <c r="DT7" s="199">
        <f t="shared" si="172"/>
        <v>-220512.96264103055</v>
      </c>
      <c r="DU7" s="199">
        <f t="shared" si="172"/>
        <v>-220512.96264103055</v>
      </c>
      <c r="DV7" s="199">
        <f t="shared" si="172"/>
        <v>-220512.96264103055</v>
      </c>
      <c r="DW7" s="199">
        <f t="shared" si="172"/>
        <v>-220512.96264103055</v>
      </c>
      <c r="DX7" s="199">
        <f t="shared" si="172"/>
        <v>-220512.96264103055</v>
      </c>
      <c r="DY7" s="199">
        <f t="shared" si="172"/>
        <v>-220512.96264103055</v>
      </c>
      <c r="DZ7" s="199">
        <f t="shared" si="172"/>
        <v>-220512.96264103055</v>
      </c>
      <c r="EA7" s="199">
        <f t="shared" si="172"/>
        <v>-220512.96264103055</v>
      </c>
      <c r="EB7" s="199">
        <f t="shared" si="172"/>
        <v>-220512.96264103055</v>
      </c>
      <c r="EC7" s="199">
        <f t="shared" si="172"/>
        <v>-220512.96264103055</v>
      </c>
      <c r="ED7" s="199">
        <f t="shared" si="172"/>
        <v>-220512.96264103055</v>
      </c>
      <c r="EE7" s="199">
        <f t="shared" si="172"/>
        <v>-220512.96264103055</v>
      </c>
      <c r="EF7" s="199">
        <f t="shared" ref="EF7:FD7" si="173">EF4-EF6</f>
        <v>-220512.96264103055</v>
      </c>
      <c r="EG7" s="199">
        <f t="shared" si="173"/>
        <v>-220512.96264103055</v>
      </c>
      <c r="EH7" s="199">
        <f t="shared" si="173"/>
        <v>-220512.96264103055</v>
      </c>
      <c r="EI7" s="199">
        <f t="shared" si="173"/>
        <v>-220512.96264103055</v>
      </c>
      <c r="EJ7" s="199">
        <f t="shared" si="173"/>
        <v>-220512.96264103055</v>
      </c>
      <c r="EK7" s="199">
        <f t="shared" si="173"/>
        <v>-220512.96264103055</v>
      </c>
      <c r="EL7" s="199">
        <f t="shared" si="173"/>
        <v>-220512.96264103055</v>
      </c>
      <c r="EM7" s="199">
        <f t="shared" si="173"/>
        <v>-220512.96264103055</v>
      </c>
      <c r="EN7" s="199">
        <f t="shared" si="173"/>
        <v>-220512.96264103055</v>
      </c>
      <c r="EO7" s="199">
        <f t="shared" si="173"/>
        <v>-220512.96264103055</v>
      </c>
      <c r="EP7" s="199">
        <f t="shared" si="173"/>
        <v>-220512.96264103055</v>
      </c>
      <c r="EQ7" s="199">
        <f t="shared" si="173"/>
        <v>-220512.96264103055</v>
      </c>
      <c r="ER7" s="199">
        <f t="shared" si="173"/>
        <v>-220512.96264103055</v>
      </c>
      <c r="ES7" s="199">
        <f t="shared" si="173"/>
        <v>-220512.96264103055</v>
      </c>
      <c r="ET7" s="199">
        <f t="shared" si="173"/>
        <v>-220512.96264103055</v>
      </c>
      <c r="EU7" s="199">
        <f t="shared" si="173"/>
        <v>-220512.96264103055</v>
      </c>
      <c r="EV7" s="199">
        <f t="shared" si="173"/>
        <v>-220512.96264103055</v>
      </c>
      <c r="EW7" s="199">
        <f t="shared" si="173"/>
        <v>-220512.96264103055</v>
      </c>
      <c r="EX7" s="199">
        <f t="shared" si="173"/>
        <v>-220512.96264103055</v>
      </c>
      <c r="EY7" s="199">
        <f t="shared" si="173"/>
        <v>-220512.96264103055</v>
      </c>
      <c r="EZ7" s="199">
        <f t="shared" si="173"/>
        <v>-220512.96264103055</v>
      </c>
      <c r="FA7" s="199">
        <f t="shared" si="173"/>
        <v>-220512.96264103055</v>
      </c>
      <c r="FB7" s="199">
        <f t="shared" si="173"/>
        <v>-220512.96264103055</v>
      </c>
      <c r="FC7" s="199">
        <f t="shared" si="173"/>
        <v>-220512.96264103055</v>
      </c>
      <c r="FD7" s="199">
        <f t="shared" si="173"/>
        <v>-220512.96264103055</v>
      </c>
    </row>
    <row r="8" spans="1:638" s="183" customFormat="1" ht="15" customHeight="1">
      <c r="A8" s="1015" t="s">
        <v>893</v>
      </c>
      <c r="B8" s="184"/>
      <c r="C8" s="185" t="s">
        <v>957</v>
      </c>
      <c r="D8" s="185" t="s">
        <v>957</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1016"/>
      <c r="B9" s="201" t="s">
        <v>1306</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0</v>
      </c>
      <c r="BT9" s="203">
        <f>SUMIFS('Revenue Tracking'!$F$13:$F$37, 'Revenue Tracking'!$P$13:$P$37, "&gt;="&amp;BT1,'Revenue Tracking'!$P$13:$P$37, "&lt;"&amp;BU1)</f>
        <v>45500000</v>
      </c>
      <c r="BU9" s="203">
        <f>SUMIFS('Revenue Tracking'!$F$13:$F$37, 'Revenue Tracking'!$P$13:$P$37, "&gt;="&amp;BU1,'Revenue Tracking'!$P$13:$P$37, "&lt;"&amp;BV1)</f>
        <v>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4000000</v>
      </c>
      <c r="BY9" s="203">
        <f>SUMIFS('Revenue Tracking'!$F$13:$F$37, 'Revenue Tracking'!$P$13:$P$37, "&gt;="&amp;BY1,'Revenue Tracking'!$P$13:$P$37, "&lt;"&amp;BZ1)</f>
        <v>0</v>
      </c>
      <c r="BZ9" s="203">
        <f>SUMIFS('Revenue Tracking'!$F$13:$F$37, 'Revenue Tracking'!$P$13:$P$37, "&gt;="&amp;BZ1,'Revenue Tracking'!$P$13:$P$37, "&lt;"&amp;CA1)</f>
        <v>15000000</v>
      </c>
      <c r="CA9" s="203">
        <f>SUMIFS('Revenue Tracking'!$F$13:$F$37, 'Revenue Tracking'!$P$13:$P$37, "&gt;="&amp;CA1,'Revenue Tracking'!$P$13:$P$37, "&lt;"&amp;CB1)</f>
        <v>0</v>
      </c>
      <c r="CB9" s="203">
        <f>SUMIFS('Revenue Tracking'!$F$13:$F$37, 'Revenue Tracking'!$P$13:$P$37, "&gt;="&amp;CB1,'Revenue Tracking'!$P$13:$P$37, "&lt;"&amp;CC1)</f>
        <v>13900000</v>
      </c>
      <c r="CC9" s="203">
        <f>SUMIFS('Revenue Tracking'!$F$13:$F$37, 'Revenue Tracking'!$P$13:$P$37, "&gt;="&amp;CC1,'Revenue Tracking'!$P$13:$P$37, "&lt;"&amp;CD1)</f>
        <v>16000000</v>
      </c>
      <c r="CD9" s="203">
        <f>SUMIFS('Revenue Tracking'!$F$13:$F$37, 'Revenue Tracking'!$P$13:$P$37, "&gt;="&amp;CD1,'Revenue Tracking'!$P$13:$P$37, "&lt;"&amp;CE1)</f>
        <v>0</v>
      </c>
      <c r="CE9" s="203">
        <f>SUMIFS('Revenue Tracking'!$F$13:$F$37, 'Revenue Tracking'!$P$13:$P$37, "&gt;="&amp;CE1,'Revenue Tracking'!$P$13:$P$37, "&lt;"&amp;CF1)</f>
        <v>0</v>
      </c>
      <c r="CF9" s="203">
        <f>SUMIFS('Revenue Tracking'!$F$13:$F$37, 'Revenue Tracking'!$P$13:$P$37, "&gt;="&amp;CF1,'Revenue Tracking'!$P$13:$P$37, "&lt;"&amp;CG1)</f>
        <v>0</v>
      </c>
      <c r="CG9" s="203">
        <f>SUMIFS('Revenue Tracking'!$F$13:$F$37, 'Revenue Tracking'!$P$13:$P$37, "&gt;="&amp;CG1,'Revenue Tracking'!$P$13:$P$37, "&lt;"&amp;CH1)</f>
        <v>9000000</v>
      </c>
      <c r="CH9" s="203">
        <f>SUMIFS('Revenue Tracking'!$F$13:$F$37, 'Revenue Tracking'!$P$13:$P$37, "&gt;="&amp;CH1,'Revenue Tracking'!$P$13:$P$37, "&lt;"&amp;CI1)</f>
        <v>0</v>
      </c>
      <c r="CI9" s="203">
        <f>SUMIFS('Revenue Tracking'!$F$13:$F$37, 'Revenue Tracking'!$P$13:$P$37, "&gt;="&amp;CI1,'Revenue Tracking'!$P$13:$P$37, "&lt;"&amp;CJ1)</f>
        <v>7000000</v>
      </c>
      <c r="CJ9" s="203">
        <f>SUMIFS('Revenue Tracking'!$F$13:$F$37, 'Revenue Tracking'!$P$13:$P$37, "&gt;="&amp;CJ1,'Revenue Tracking'!$P$13:$P$37, "&lt;"&amp;CK1)</f>
        <v>0</v>
      </c>
      <c r="CK9" s="203">
        <f>SUMIFS('Revenue Tracking'!$F$13:$F$37, 'Revenue Tracking'!$P$13:$P$37, "&gt;="&amp;CK1,'Revenue Tracking'!$P$13:$P$37, "&lt;"&amp;CL1)</f>
        <v>7500000</v>
      </c>
      <c r="CL9" s="203">
        <f>SUMIFS('Revenue Tracking'!$F$13:$F$37, 'Revenue Tracking'!$P$13:$P$37, "&gt;="&amp;CL1,'Revenue Tracking'!$P$13:$P$37, "&lt;"&amp;CM1)</f>
        <v>0</v>
      </c>
      <c r="CM9" s="203">
        <f>SUMIFS('Revenue Tracking'!$F$13:$F$37, 'Revenue Tracking'!$P$13:$P$37, "&gt;="&amp;CM1,'Revenue Tracking'!$P$13:$P$37, "&lt;"&amp;CN1)</f>
        <v>5500000</v>
      </c>
      <c r="CN9" s="203">
        <f>SUMIFS('Revenue Tracking'!$F$13:$F$37, 'Revenue Tracking'!$P$13:$P$37, "&gt;="&amp;CN1,'Revenue Tracking'!$P$13:$P$37, "&lt;"&amp;CO1)</f>
        <v>0</v>
      </c>
      <c r="CO9" s="203">
        <f>SUMIFS('Revenue Tracking'!$F$13:$F$37, 'Revenue Tracking'!$P$13:$P$37, "&gt;="&amp;CO1,'Revenue Tracking'!$P$13:$P$37, "&lt;"&amp;CP1)</f>
        <v>11500000</v>
      </c>
      <c r="CP9" s="203">
        <f>SUMIFS('Revenue Tracking'!$F$13:$F$37, 'Revenue Tracking'!$P$13:$P$37, "&gt;="&amp;CP1,'Revenue Tracking'!$P$13:$P$37, "&lt;"&amp;CQ1)</f>
        <v>0</v>
      </c>
      <c r="CQ9" s="203">
        <f>SUMIFS('Revenue Tracking'!$F$13:$F$37, 'Revenue Tracking'!$P$13:$P$37, "&gt;="&amp;CQ1,'Revenue Tracking'!$P$13:$P$37, "&lt;"&amp;CR1)</f>
        <v>1500000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0</v>
      </c>
      <c r="EP9" s="203">
        <f>SUMIFS('Revenue Tracking'!$F$13:$F$37, 'Revenue Tracking'!$P$13:$P$37, "&gt;="&amp;EP1,'Revenue Tracking'!$P$13:$P$37, "&lt;"&amp;EQ1)</f>
        <v>0</v>
      </c>
      <c r="EQ9" s="203">
        <f>SUMIFS('Revenue Tracking'!$F$13:$F$37, 'Revenue Tracking'!$P$13:$P$37, "&gt;="&amp;EQ1,'Revenue Tracking'!$P$13:$P$37, "&lt;"&amp;ER1)</f>
        <v>8082290.7527689878</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1016"/>
      <c r="B10" s="201" t="s">
        <v>1307</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0</v>
      </c>
      <c r="BL10" s="203">
        <f t="shared" si="174"/>
        <v>0</v>
      </c>
      <c r="BM10" s="203">
        <f t="shared" si="174"/>
        <v>0</v>
      </c>
      <c r="BN10" s="203">
        <f t="shared" si="174"/>
        <v>0</v>
      </c>
      <c r="BO10" s="203">
        <f t="shared" si="174"/>
        <v>0</v>
      </c>
      <c r="BP10" s="203">
        <f t="shared" si="174"/>
        <v>0</v>
      </c>
      <c r="BQ10" s="203">
        <f t="shared" si="174"/>
        <v>0</v>
      </c>
      <c r="BR10" s="203">
        <f t="shared" si="174"/>
        <v>0</v>
      </c>
      <c r="BS10" s="203">
        <f t="shared" si="174"/>
        <v>0</v>
      </c>
      <c r="BT10" s="203">
        <f t="shared" si="174"/>
        <v>45500000</v>
      </c>
      <c r="BU10" s="203">
        <f t="shared" ref="BU10:DB10" si="175">BT10+BU9</f>
        <v>45500000</v>
      </c>
      <c r="BV10" s="203">
        <f t="shared" si="175"/>
        <v>45500000</v>
      </c>
      <c r="BW10" s="203">
        <f t="shared" si="175"/>
        <v>45500000</v>
      </c>
      <c r="BX10" s="203">
        <f t="shared" si="175"/>
        <v>49500000</v>
      </c>
      <c r="BY10" s="203">
        <f t="shared" si="175"/>
        <v>49500000</v>
      </c>
      <c r="BZ10" s="203">
        <f t="shared" si="175"/>
        <v>64500000</v>
      </c>
      <c r="CA10" s="203">
        <f t="shared" si="175"/>
        <v>64500000</v>
      </c>
      <c r="CB10" s="203">
        <f t="shared" si="175"/>
        <v>78400000</v>
      </c>
      <c r="CC10" s="203">
        <f t="shared" si="175"/>
        <v>94400000</v>
      </c>
      <c r="CD10" s="203">
        <f t="shared" si="175"/>
        <v>94400000</v>
      </c>
      <c r="CE10" s="203">
        <f t="shared" si="175"/>
        <v>94400000</v>
      </c>
      <c r="CF10" s="203">
        <f t="shared" si="175"/>
        <v>94400000</v>
      </c>
      <c r="CG10" s="203">
        <f t="shared" si="175"/>
        <v>103400000</v>
      </c>
      <c r="CH10" s="203">
        <f t="shared" si="175"/>
        <v>103400000</v>
      </c>
      <c r="CI10" s="203">
        <f t="shared" si="175"/>
        <v>110400000</v>
      </c>
      <c r="CJ10" s="203">
        <f t="shared" si="175"/>
        <v>110400000</v>
      </c>
      <c r="CK10" s="203">
        <f t="shared" si="175"/>
        <v>117900000</v>
      </c>
      <c r="CL10" s="203">
        <f t="shared" si="175"/>
        <v>117900000</v>
      </c>
      <c r="CM10" s="203">
        <f t="shared" si="175"/>
        <v>123400000</v>
      </c>
      <c r="CN10" s="203">
        <f t="shared" si="175"/>
        <v>123400000</v>
      </c>
      <c r="CO10" s="203">
        <f t="shared" si="175"/>
        <v>134900000</v>
      </c>
      <c r="CP10" s="203">
        <f t="shared" si="175"/>
        <v>134900000</v>
      </c>
      <c r="CQ10" s="203">
        <f t="shared" si="175"/>
        <v>136400000</v>
      </c>
      <c r="CR10" s="203">
        <f t="shared" si="175"/>
        <v>136400000</v>
      </c>
      <c r="CS10" s="203">
        <f t="shared" si="175"/>
        <v>136400000</v>
      </c>
      <c r="CT10" s="203">
        <f t="shared" si="175"/>
        <v>136400000</v>
      </c>
      <c r="CU10" s="203">
        <f t="shared" si="175"/>
        <v>136400000</v>
      </c>
      <c r="CV10" s="203">
        <f t="shared" si="175"/>
        <v>136400000</v>
      </c>
      <c r="CW10" s="203">
        <f t="shared" si="175"/>
        <v>136400000</v>
      </c>
      <c r="CX10" s="203">
        <f t="shared" si="175"/>
        <v>136400000</v>
      </c>
      <c r="CY10" s="203">
        <f t="shared" si="175"/>
        <v>136400000</v>
      </c>
      <c r="CZ10" s="203">
        <f t="shared" si="175"/>
        <v>136400000</v>
      </c>
      <c r="DA10" s="203">
        <f t="shared" si="175"/>
        <v>136400000</v>
      </c>
      <c r="DB10" s="203">
        <f t="shared" si="175"/>
        <v>136400000</v>
      </c>
      <c r="DC10" s="203">
        <f t="shared" ref="DC10" si="176">DB10+DC9</f>
        <v>136400000</v>
      </c>
      <c r="DD10" s="203">
        <f t="shared" ref="DD10" si="177">DC10+DD9</f>
        <v>136400000</v>
      </c>
      <c r="DE10" s="203">
        <f t="shared" ref="DE10" si="178">DD10+DE9</f>
        <v>136400000</v>
      </c>
      <c r="DF10" s="203">
        <f t="shared" ref="DF10" si="179">DE10+DF9</f>
        <v>136400000</v>
      </c>
      <c r="DG10" s="203">
        <f t="shared" ref="DG10" si="180">DF10+DG9</f>
        <v>136400000</v>
      </c>
      <c r="DH10" s="203">
        <f t="shared" ref="DH10" si="181">DG10+DH9</f>
        <v>136400000</v>
      </c>
      <c r="DI10" s="203">
        <f t="shared" ref="DI10" si="182">DH10+DI9</f>
        <v>136400000</v>
      </c>
      <c r="DJ10" s="203">
        <f t="shared" ref="DJ10" si="183">DI10+DJ9</f>
        <v>136400000</v>
      </c>
      <c r="DK10" s="203">
        <f t="shared" ref="DK10" si="184">DJ10+DK9</f>
        <v>136400000</v>
      </c>
      <c r="DL10" s="203">
        <f t="shared" ref="DL10" si="185">DK10+DL9</f>
        <v>136400000</v>
      </c>
      <c r="DM10" s="203">
        <f t="shared" ref="DM10" si="186">DL10+DM9</f>
        <v>136400000</v>
      </c>
      <c r="DN10" s="203">
        <f t="shared" ref="DN10" si="187">DM10+DN9</f>
        <v>136400000</v>
      </c>
      <c r="DO10" s="203">
        <f t="shared" ref="DO10" si="188">DN10+DO9</f>
        <v>136400000</v>
      </c>
      <c r="DP10" s="203">
        <f t="shared" ref="DP10" si="189">DO10+DP9</f>
        <v>136400000</v>
      </c>
      <c r="DQ10" s="203">
        <f t="shared" ref="DQ10" si="190">DP10+DQ9</f>
        <v>136400000</v>
      </c>
      <c r="DR10" s="203">
        <f t="shared" ref="DR10" si="191">DQ10+DR9</f>
        <v>136400000</v>
      </c>
      <c r="DS10" s="203">
        <f t="shared" ref="DS10" si="192">DR10+DS9</f>
        <v>136400000</v>
      </c>
      <c r="DT10" s="203">
        <f t="shared" ref="DT10" si="193">DS10+DT9</f>
        <v>136400000</v>
      </c>
      <c r="DU10" s="203">
        <f t="shared" ref="DU10" si="194">DT10+DU9</f>
        <v>136400000</v>
      </c>
      <c r="DV10" s="203">
        <f t="shared" ref="DV10" si="195">DU10+DV9</f>
        <v>136400000</v>
      </c>
      <c r="DW10" s="203">
        <f t="shared" ref="DW10" si="196">DV10+DW9</f>
        <v>136400000</v>
      </c>
      <c r="DX10" s="203">
        <f t="shared" ref="DX10" si="197">DW10+DX9</f>
        <v>136400000</v>
      </c>
      <c r="DY10" s="203">
        <f t="shared" ref="DY10" si="198">DX10+DY9</f>
        <v>136400000</v>
      </c>
      <c r="DZ10" s="203">
        <f t="shared" ref="DZ10" si="199">DY10+DZ9</f>
        <v>136400000</v>
      </c>
      <c r="EA10" s="203">
        <f t="shared" ref="EA10" si="200">DZ10+EA9</f>
        <v>136400000</v>
      </c>
      <c r="EB10" s="203">
        <f t="shared" ref="EB10" si="201">EA10+EB9</f>
        <v>136400000</v>
      </c>
      <c r="EC10" s="203">
        <f t="shared" ref="EC10" si="202">EB10+EC9</f>
        <v>136400000</v>
      </c>
      <c r="ED10" s="203">
        <f t="shared" ref="ED10" si="203">EC10+ED9</f>
        <v>136400000</v>
      </c>
      <c r="EE10" s="203">
        <f t="shared" ref="EE10" si="204">ED10+EE9</f>
        <v>136400000</v>
      </c>
      <c r="EF10" s="203">
        <f t="shared" ref="EF10" si="205">EE10+EF9</f>
        <v>136400000</v>
      </c>
      <c r="EG10" s="203">
        <f t="shared" ref="EG10" si="206">EF10+EG9</f>
        <v>136400000</v>
      </c>
      <c r="EH10" s="203">
        <f t="shared" ref="EH10" si="207">EG10+EH9</f>
        <v>136400000</v>
      </c>
      <c r="EI10" s="203">
        <f t="shared" ref="EI10" si="208">EH10+EI9</f>
        <v>136400000</v>
      </c>
      <c r="EJ10" s="203">
        <f t="shared" ref="EJ10" si="209">EI10+EJ9</f>
        <v>136400000</v>
      </c>
      <c r="EK10" s="203">
        <f t="shared" ref="EK10" si="210">EJ10+EK9</f>
        <v>136400000</v>
      </c>
      <c r="EL10" s="203">
        <f t="shared" ref="EL10" si="211">EK10+EL9</f>
        <v>136400000</v>
      </c>
      <c r="EM10" s="203">
        <f t="shared" ref="EM10" si="212">EL10+EM9</f>
        <v>136400000</v>
      </c>
      <c r="EN10" s="203">
        <f t="shared" ref="EN10" si="213">EM10+EN9</f>
        <v>136400000</v>
      </c>
      <c r="EO10" s="203">
        <f t="shared" ref="EO10" si="214">EN10+EO9</f>
        <v>136400000</v>
      </c>
      <c r="EP10" s="203">
        <f t="shared" ref="EP10" si="215">EO10+EP9</f>
        <v>136400000</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1016"/>
      <c r="B11" s="204" t="s">
        <v>1308</v>
      </c>
      <c r="C11" s="205">
        <f>'Revenue Tracking'!F5</f>
        <v>144827424.51297796</v>
      </c>
      <c r="D11" s="205">
        <f>SUM(F11:FD11)</f>
        <v>144577424.51297799</v>
      </c>
      <c r="E11" s="189"/>
      <c r="F11" s="206">
        <f>SUMIFS('Expenditure Breakdown'!$Q$6:$Q$402, 'Expenditure Breakdown'!$W$6:$W$402, "&gt;="&amp;F1,'Expenditure Breakdown'!$W$6:$W$402, "&lt;"&amp;G1)</f>
        <v>0</v>
      </c>
      <c r="G11" s="206">
        <f>SUMIFS('Expenditure Breakdown'!$Q$6:$Q$402, 'Expenditure Breakdown'!$W$6:$W$402, "&gt;="&amp;G1,'Expenditure Breakdown'!$W$6:$W$402, "&lt;"&amp;H1)</f>
        <v>0</v>
      </c>
      <c r="H11" s="206">
        <f>SUMIFS('Expenditure Breakdown'!$Q$6:$Q$402, 'Expenditure Breakdown'!$W$6:$W$402, "&gt;="&amp;H1,'Expenditure Breakdown'!$W$6:$W$402, "&lt;"&amp;I1)</f>
        <v>0</v>
      </c>
      <c r="I11" s="206">
        <f>SUMIFS('Expenditure Breakdown'!$Q$6:$Q$402, 'Expenditure Breakdown'!$W$6:$W$402, "&gt;="&amp;I1,'Expenditure Breakdown'!$W$6:$W$402, "&lt;"&amp;J1)</f>
        <v>0</v>
      </c>
      <c r="J11" s="206">
        <f>SUMIFS('Expenditure Breakdown'!$Q$6:$Q$402, 'Expenditure Breakdown'!$W$6:$W$402, "&gt;="&amp;J1,'Expenditure Breakdown'!$W$6:$W$402, "&lt;"&amp;K1)</f>
        <v>0</v>
      </c>
      <c r="K11" s="206">
        <f>SUMIFS('Expenditure Breakdown'!$Q$6:$Q$402, 'Expenditure Breakdown'!$W$6:$W$402, "&gt;="&amp;K1,'Expenditure Breakdown'!$W$6:$W$402, "&lt;"&amp;L1)</f>
        <v>0</v>
      </c>
      <c r="L11" s="206">
        <f>SUMIFS('Expenditure Breakdown'!$Q$6:$Q$402, 'Expenditure Breakdown'!$W$6:$W$402, "&gt;="&amp;L1,'Expenditure Breakdown'!$W$6:$W$402, "&lt;"&amp;M1)</f>
        <v>0</v>
      </c>
      <c r="M11" s="206">
        <f>SUMIFS('Expenditure Breakdown'!$Q$6:$Q$402, 'Expenditure Breakdown'!$W$6:$W$402, "&gt;="&amp;M1,'Expenditure Breakdown'!$W$6:$W$402, "&lt;"&amp;N1)</f>
        <v>0</v>
      </c>
      <c r="N11" s="206">
        <f>SUMIFS('Expenditure Breakdown'!$Q$6:$Q$402, 'Expenditure Breakdown'!$W$6:$W$402, "&gt;="&amp;N1,'Expenditure Breakdown'!$W$6:$W$402, "&lt;"&amp;O1)</f>
        <v>3899999.9999950002</v>
      </c>
      <c r="O11" s="206">
        <f>SUMIFS('Expenditure Breakdown'!$Q$6:$Q$402, 'Expenditure Breakdown'!$W$6:$W$402, "&gt;="&amp;O1,'Expenditure Breakdown'!$W$6:$W$402, "&lt;"&amp;P1)</f>
        <v>0</v>
      </c>
      <c r="P11" s="206">
        <f>SUMIFS('Expenditure Breakdown'!$Q$6:$Q$402, 'Expenditure Breakdown'!$W$6:$W$402, "&gt;="&amp;P1,'Expenditure Breakdown'!$W$6:$W$402, "&lt;"&amp;Q1)</f>
        <v>0</v>
      </c>
      <c r="Q11" s="206">
        <f>SUMIFS('Expenditure Breakdown'!$Q$6:$Q$402, 'Expenditure Breakdown'!$W$6:$W$402, "&gt;="&amp;Q1,'Expenditure Breakdown'!$W$6:$W$402, "&lt;"&amp;R1)</f>
        <v>0</v>
      </c>
      <c r="R11" s="206">
        <f>SUMIFS('Expenditure Breakdown'!$Q$6:$Q$402, 'Expenditure Breakdown'!$W$6:$W$402, "&gt;="&amp;R1,'Expenditure Breakdown'!$W$6:$W$402, "&lt;"&amp;S1)</f>
        <v>0</v>
      </c>
      <c r="S11" s="206">
        <f>SUMIFS('Expenditure Breakdown'!$Q$6:$Q$402, 'Expenditure Breakdown'!$W$6:$W$402, "&gt;="&amp;S1,'Expenditure Breakdown'!$W$6:$W$402, "&lt;"&amp;T1)</f>
        <v>0</v>
      </c>
      <c r="T11" s="206">
        <f>SUMIFS('Expenditure Breakdown'!$Q$6:$Q$402, 'Expenditure Breakdown'!$W$6:$W$402, "&gt;="&amp;T1,'Expenditure Breakdown'!$W$6:$W$402, "&lt;"&amp;U1)</f>
        <v>0</v>
      </c>
      <c r="U11" s="206">
        <f>SUMIFS('Expenditure Breakdown'!$Q$6:$Q$402, 'Expenditure Breakdown'!$W$6:$W$402, "&gt;="&amp;U1,'Expenditure Breakdown'!$W$6:$W$402, "&lt;"&amp;V1)</f>
        <v>18030</v>
      </c>
      <c r="V11" s="206">
        <f>SUMIFS('Expenditure Breakdown'!$Q$6:$Q$402, 'Expenditure Breakdown'!$W$6:$W$402, "&gt;="&amp;V1,'Expenditure Breakdown'!$W$6:$W$402, "&lt;"&amp;W1)</f>
        <v>0</v>
      </c>
      <c r="W11" s="206">
        <f>SUMIFS('Expenditure Breakdown'!$Q$6:$Q$402, 'Expenditure Breakdown'!$W$6:$W$402, "&gt;="&amp;W1,'Expenditure Breakdown'!$W$6:$W$402, "&lt;"&amp;X1)</f>
        <v>0</v>
      </c>
      <c r="X11" s="206">
        <f>SUMIFS('Expenditure Breakdown'!$Q$6:$Q$402, 'Expenditure Breakdown'!$W$6:$W$402, "&gt;="&amp;X1,'Expenditure Breakdown'!$W$6:$W$402, "&lt;"&amp;Y1)</f>
        <v>0</v>
      </c>
      <c r="Y11" s="206">
        <f>SUMIFS('Expenditure Breakdown'!$Q$6:$Q$402, 'Expenditure Breakdown'!$W$6:$W$402, "&gt;="&amp;Y1,'Expenditure Breakdown'!$W$6:$W$402, "&lt;"&amp;Z1)</f>
        <v>0</v>
      </c>
      <c r="Z11" s="206">
        <f>SUMIFS('Expenditure Breakdown'!$Q$6:$Q$402, 'Expenditure Breakdown'!$W$6:$W$402, "&gt;="&amp;Z1,'Expenditure Breakdown'!$W$6:$W$402, "&lt;"&amp;AA1)</f>
        <v>0</v>
      </c>
      <c r="AA11" s="206">
        <f>SUMIFS('Expenditure Breakdown'!$Q$6:$Q$402, 'Expenditure Breakdown'!$W$6:$W$402, "&gt;="&amp;AA1,'Expenditure Breakdown'!$W$6:$W$402, "&lt;"&amp;AB1)</f>
        <v>1500000</v>
      </c>
      <c r="AB11" s="206">
        <f>SUMIFS('Expenditure Breakdown'!$Q$6:$Q$402, 'Expenditure Breakdown'!$W$6:$W$402, "&gt;="&amp;AB1,'Expenditure Breakdown'!$W$6:$W$402, "&lt;"&amp;AC1)</f>
        <v>0</v>
      </c>
      <c r="AC11" s="206">
        <f>SUMIFS('Expenditure Breakdown'!$Q$6:$Q$402, 'Expenditure Breakdown'!$W$6:$W$402, "&gt;="&amp;AC1,'Expenditure Breakdown'!$W$6:$W$402, "&lt;"&amp;AD1)</f>
        <v>0</v>
      </c>
      <c r="AD11" s="206">
        <f>SUMIFS('Expenditure Breakdown'!$Q$6:$Q$402, 'Expenditure Breakdown'!$W$6:$W$402, "&gt;="&amp;AD1,'Expenditure Breakdown'!$W$6:$W$402, "&lt;"&amp;AE1)</f>
        <v>0</v>
      </c>
      <c r="AE11" s="206">
        <f>SUMIFS('Expenditure Breakdown'!$Q$6:$Q$402, 'Expenditure Breakdown'!$W$6:$W$402, "&gt;="&amp;AE1,'Expenditure Breakdown'!$W$6:$W$402, "&lt;"&amp;AF1)</f>
        <v>0</v>
      </c>
      <c r="AF11" s="206">
        <f>SUMIFS('Expenditure Breakdown'!$Q$6:$Q$402, 'Expenditure Breakdown'!$W$6:$W$402, "&gt;="&amp;AF1,'Expenditure Breakdown'!$W$6:$W$402, "&lt;"&amp;AG1)</f>
        <v>0</v>
      </c>
      <c r="AG11" s="206">
        <f>SUMIFS('Expenditure Breakdown'!$Q$6:$Q$402, 'Expenditure Breakdown'!$W$6:$W$402, "&gt;="&amp;AG1,'Expenditure Breakdown'!$W$6:$W$402, "&lt;"&amp;AH1)</f>
        <v>0</v>
      </c>
      <c r="AH11" s="206">
        <f>SUMIFS('Expenditure Breakdown'!$Q$6:$Q$402, 'Expenditure Breakdown'!$W$6:$W$402, "&gt;="&amp;AH1,'Expenditure Breakdown'!$W$6:$W$402, "&lt;"&amp;AI1)</f>
        <v>0</v>
      </c>
      <c r="AI11" s="206">
        <f>SUMIFS('Expenditure Breakdown'!$Q$6:$Q$402, 'Expenditure Breakdown'!$W$6:$W$402, "&gt;="&amp;AI1,'Expenditure Breakdown'!$W$6:$W$402, "&lt;"&amp;AJ1)</f>
        <v>0</v>
      </c>
      <c r="AJ11" s="206">
        <f>SUMIFS('Expenditure Breakdown'!$Q$6:$Q$402, 'Expenditure Breakdown'!$W$6:$W$402, "&gt;="&amp;AJ1,'Expenditure Breakdown'!$W$6:$W$402, "&lt;"&amp;AK1)</f>
        <v>0</v>
      </c>
      <c r="AK11" s="206">
        <f>SUMIFS('Expenditure Breakdown'!$Q$6:$Q$402, 'Expenditure Breakdown'!$W$6:$W$402, "&gt;="&amp;AK1,'Expenditure Breakdown'!$W$6:$W$402, "&lt;"&amp;AL1)</f>
        <v>0</v>
      </c>
      <c r="AL11" s="206">
        <f>SUMIFS('Expenditure Breakdown'!$Q$6:$Q$402, 'Expenditure Breakdown'!$W$6:$W$402, "&gt;="&amp;AL1,'Expenditure Breakdown'!$W$6:$W$402, "&lt;"&amp;AM1)</f>
        <v>0</v>
      </c>
      <c r="AM11" s="206">
        <f>SUMIFS('Expenditure Breakdown'!$Q$6:$Q$402, 'Expenditure Breakdown'!$W$6:$W$402, "&gt;="&amp;AM1,'Expenditure Breakdown'!$W$6:$W$402, "&lt;"&amp;AN1)</f>
        <v>0</v>
      </c>
      <c r="AN11" s="206">
        <f>SUMIFS('Expenditure Breakdown'!$Q$6:$Q$402, 'Expenditure Breakdown'!$W$6:$W$402, "&gt;="&amp;AN1,'Expenditure Breakdown'!$W$6:$W$402, "&lt;"&amp;AO1)</f>
        <v>0</v>
      </c>
      <c r="AO11" s="206">
        <f>SUMIFS('Expenditure Breakdown'!$Q$6:$Q$402, 'Expenditure Breakdown'!$W$6:$W$402, "&gt;="&amp;AO1,'Expenditure Breakdown'!$W$6:$W$402, "&lt;"&amp;AP1)</f>
        <v>0</v>
      </c>
      <c r="AP11" s="206">
        <f>SUMIFS('Expenditure Breakdown'!$Q$6:$Q$402, 'Expenditure Breakdown'!$W$6:$W$402, "&gt;="&amp;AP1,'Expenditure Breakdown'!$W$6:$W$402, "&lt;"&amp;AQ1)</f>
        <v>0</v>
      </c>
      <c r="AQ11" s="206">
        <f>SUMIFS('Expenditure Breakdown'!$Q$6:$Q$402, 'Expenditure Breakdown'!$W$6:$W$402, "&gt;="&amp;AQ1,'Expenditure Breakdown'!$W$6:$W$402, "&lt;"&amp;AR1)</f>
        <v>0</v>
      </c>
      <c r="AR11" s="206">
        <f>SUMIFS('Expenditure Breakdown'!$Q$6:$Q$402, 'Expenditure Breakdown'!$W$6:$W$402, "&gt;="&amp;AR1,'Expenditure Breakdown'!$W$6:$W$402, "&lt;"&amp;AS1)</f>
        <v>0</v>
      </c>
      <c r="AS11" s="206">
        <f>SUMIFS('Expenditure Breakdown'!$Q$6:$Q$402, 'Expenditure Breakdown'!$W$6:$W$402, "&gt;="&amp;AS1,'Expenditure Breakdown'!$W$6:$W$402, "&lt;"&amp;AT1)</f>
        <v>0</v>
      </c>
      <c r="AT11" s="206">
        <f>SUMIFS('Expenditure Breakdown'!$Q$6:$Q$402, 'Expenditure Breakdown'!$W$6:$W$402, "&gt;="&amp;AT1,'Expenditure Breakdown'!$W$6:$W$402, "&lt;"&amp;AU1)</f>
        <v>0</v>
      </c>
      <c r="AU11" s="206">
        <f>SUMIFS('Expenditure Breakdown'!$Q$6:$Q$402, 'Expenditure Breakdown'!$W$6:$W$402, "&gt;="&amp;AU1,'Expenditure Breakdown'!$W$6:$W$402, "&lt;"&amp;AV1)</f>
        <v>0</v>
      </c>
      <c r="AV11" s="206">
        <f>SUMIFS('Expenditure Breakdown'!$Q$6:$Q$402, 'Expenditure Breakdown'!$W$6:$W$402, "&gt;="&amp;AV1,'Expenditure Breakdown'!$W$6:$W$402, "&lt;"&amp;AW1)</f>
        <v>0</v>
      </c>
      <c r="AW11" s="206">
        <f>SUMIFS('Expenditure Breakdown'!$Q$6:$Q$402, 'Expenditure Breakdown'!$W$6:$W$402, "&gt;="&amp;AW1,'Expenditure Breakdown'!$W$6:$W$402, "&lt;"&amp;AX1)</f>
        <v>0</v>
      </c>
      <c r="AX11" s="206">
        <f>SUMIFS('Expenditure Breakdown'!$Q$6:$Q$402, 'Expenditure Breakdown'!$W$6:$W$402, "&gt;="&amp;AX1,'Expenditure Breakdown'!$W$6:$W$402, "&lt;"&amp;AY1)</f>
        <v>0</v>
      </c>
      <c r="AY11" s="206">
        <f>SUMIFS('Expenditure Breakdown'!$Q$6:$Q$402, 'Expenditure Breakdown'!$W$6:$W$402, "&gt;="&amp;AY1,'Expenditure Breakdown'!$W$6:$W$402, "&lt;"&amp;AZ1)</f>
        <v>0</v>
      </c>
      <c r="AZ11" s="206">
        <f>SUMIFS('Expenditure Breakdown'!$Q$6:$Q$402, 'Expenditure Breakdown'!$W$6:$W$402, "&gt;="&amp;AZ1,'Expenditure Breakdown'!$W$6:$W$402, "&lt;"&amp;BA1)</f>
        <v>0</v>
      </c>
      <c r="BA11" s="206">
        <f>SUMIFS('Expenditure Breakdown'!$Q$6:$Q$402, 'Expenditure Breakdown'!$W$6:$W$402, "&gt;="&amp;BA1,'Expenditure Breakdown'!$W$6:$W$402, "&lt;"&amp;BB1)</f>
        <v>0</v>
      </c>
      <c r="BB11" s="206">
        <f>SUMIFS('Expenditure Breakdown'!$Q$6:$Q$402, 'Expenditure Breakdown'!$W$6:$W$402, "&gt;="&amp;BB1,'Expenditure Breakdown'!$W$6:$W$402, "&lt;"&amp;BC1)</f>
        <v>0</v>
      </c>
      <c r="BC11" s="206">
        <f>SUMIFS('Expenditure Breakdown'!$Q$6:$Q$402, 'Expenditure Breakdown'!$W$6:$W$402, "&gt;="&amp;BC1,'Expenditure Breakdown'!$W$6:$W$402, "&lt;"&amp;BD1)</f>
        <v>0</v>
      </c>
      <c r="BD11" s="206">
        <f>SUMIFS('Expenditure Breakdown'!$Q$6:$Q$402, 'Expenditure Breakdown'!$W$6:$W$402, "&gt;="&amp;BD1,'Expenditure Breakdown'!$W$6:$W$402, "&lt;"&amp;BE1)</f>
        <v>0</v>
      </c>
      <c r="BE11" s="206">
        <f>SUMIFS('Expenditure Breakdown'!$Q$6:$Q$402, 'Expenditure Breakdown'!$W$6:$W$402, "&gt;="&amp;BE1,'Expenditure Breakdown'!$W$6:$W$402, "&lt;"&amp;BF1)</f>
        <v>0</v>
      </c>
      <c r="BF11" s="206">
        <f>SUMIFS('Expenditure Breakdown'!$Q$6:$Q$402, 'Expenditure Breakdown'!$W$6:$W$402, "&gt;="&amp;BF1,'Expenditure Breakdown'!$W$6:$W$402, "&lt;"&amp;BG1)</f>
        <v>0</v>
      </c>
      <c r="BG11" s="206">
        <f>SUMIFS('Expenditure Breakdown'!$Q$6:$Q$402, 'Expenditure Breakdown'!$W$6:$W$402, "&gt;="&amp;BG1,'Expenditure Breakdown'!$W$6:$W$402, "&lt;"&amp;BH1)</f>
        <v>607243.06449999998</v>
      </c>
      <c r="BH11" s="206">
        <f>SUMIFS('Expenditure Breakdown'!$Q$6:$Q$402, 'Expenditure Breakdown'!$W$6:$W$402, "&gt;="&amp;BH1,'Expenditure Breakdown'!$W$6:$W$402, "&lt;"&amp;BI1)</f>
        <v>1651280.976</v>
      </c>
      <c r="BI11" s="206">
        <f>SUMIFS('Expenditure Breakdown'!$Q$6:$Q$402, 'Expenditure Breakdown'!$W$6:$W$402, "&gt;="&amp;BI1,'Expenditure Breakdown'!$W$6:$W$402, "&lt;"&amp;BJ1)</f>
        <v>6500</v>
      </c>
      <c r="BJ11" s="206">
        <f>SUMIFS('Expenditure Breakdown'!$Q$6:$Q$402, 'Expenditure Breakdown'!$W$6:$W$402, "&gt;="&amp;BJ1,'Expenditure Breakdown'!$W$6:$W$402, "&lt;"&amp;BK1)</f>
        <v>6379480.0124999993</v>
      </c>
      <c r="BK11" s="206">
        <f>SUMIFS('Expenditure Breakdown'!$Q$6:$Q$402, 'Expenditure Breakdown'!$W$6:$W$402, "&gt;="&amp;BK1,'Expenditure Breakdown'!$W$6:$W$402, "&lt;"&amp;BL1)</f>
        <v>5146777.2350781998</v>
      </c>
      <c r="BL11" s="206">
        <f>SUMIFS('Expenditure Breakdown'!$Q$6:$Q$402, 'Expenditure Breakdown'!$W$6:$W$402, "&gt;="&amp;BL1,'Expenditure Breakdown'!$W$6:$W$402, "&lt;"&amp;BM1)</f>
        <v>6611137.7200000007</v>
      </c>
      <c r="BM11" s="206">
        <f>SUMIFS('Expenditure Breakdown'!$Q$6:$Q$402, 'Expenditure Breakdown'!$W$6:$W$402, "&gt;="&amp;BM1,'Expenditure Breakdown'!$W$6:$W$402, "&lt;"&amp;BN1)</f>
        <v>375000</v>
      </c>
      <c r="BN11" s="206">
        <f>SUMIFS('Expenditure Breakdown'!$Q$6:$Q$402, 'Expenditure Breakdown'!$W$6:$W$402, "&gt;="&amp;BN1,'Expenditure Breakdown'!$W$6:$W$402, "&lt;"&amp;BO1)</f>
        <v>0</v>
      </c>
      <c r="BO11" s="206">
        <f>SUMIFS('Expenditure Breakdown'!$Q$6:$Q$402, 'Expenditure Breakdown'!$W$6:$W$402, "&gt;="&amp;BO1,'Expenditure Breakdown'!$W$6:$W$402, "&lt;"&amp;BP1)</f>
        <v>849681.9</v>
      </c>
      <c r="BP11" s="206">
        <f>SUMIFS('Expenditure Breakdown'!$Q$6:$Q$402, 'Expenditure Breakdown'!$W$6:$W$402, "&gt;="&amp;BP1,'Expenditure Breakdown'!$W$6:$W$402, "&lt;"&amp;BQ1)</f>
        <v>5072524.8639999991</v>
      </c>
      <c r="BQ11" s="206">
        <f>SUMIFS('Expenditure Breakdown'!$Q$6:$Q$402, 'Expenditure Breakdown'!$W$6:$W$402, "&gt;="&amp;BQ1,'Expenditure Breakdown'!$W$6:$W$402, "&lt;"&amp;BR1)</f>
        <v>994198.2</v>
      </c>
      <c r="BR11" s="206">
        <f>SUMIFS('Expenditure Breakdown'!$Q$6:$Q$402, 'Expenditure Breakdown'!$W$6:$W$402, "&gt;="&amp;BR1,'Expenditure Breakdown'!$W$6:$W$402, "&lt;"&amp;BS1)</f>
        <v>0</v>
      </c>
      <c r="BS11" s="206">
        <f>SUMIFS('Expenditure Breakdown'!$Q$6:$Q$402, 'Expenditure Breakdown'!$W$6:$W$402, "&gt;="&amp;BS1,'Expenditure Breakdown'!$W$6:$W$402, "&lt;"&amp;BT1)</f>
        <v>0</v>
      </c>
      <c r="BT11" s="206">
        <f>SUMIFS('Expenditure Breakdown'!$Q$6:$Q$402, 'Expenditure Breakdown'!$W$6:$W$402, "&gt;="&amp;BT1,'Expenditure Breakdown'!$W$6:$W$402, "&lt;"&amp;BU1)</f>
        <v>9904920.3859999999</v>
      </c>
      <c r="BU11" s="206">
        <f>SUMIFS('Expenditure Breakdown'!$Q$6:$Q$402, 'Expenditure Breakdown'!$W$6:$W$402, "&gt;="&amp;BU1,'Expenditure Breakdown'!$W$6:$W$402, "&lt;"&amp;BV1)</f>
        <v>3312172.8615250564</v>
      </c>
      <c r="BV11" s="206">
        <f>SUMIFS('Expenditure Breakdown'!$Q$6:$Q$402, 'Expenditure Breakdown'!$W$6:$W$402, "&gt;="&amp;BV1,'Expenditure Breakdown'!$W$6:$W$402, "&lt;"&amp;BW1)</f>
        <v>0</v>
      </c>
      <c r="BW11" s="206">
        <f>SUMIFS('Expenditure Breakdown'!$Q$6:$Q$402, 'Expenditure Breakdown'!$W$6:$W$402, "&gt;="&amp;BW1,'Expenditure Breakdown'!$W$6:$W$402, "&lt;"&amp;BX1)</f>
        <v>350000</v>
      </c>
      <c r="BX11" s="206">
        <f>SUMIFS('Expenditure Breakdown'!$Q$6:$Q$402, 'Expenditure Breakdown'!$W$6:$W$402, "&gt;="&amp;BX1,'Expenditure Breakdown'!$W$6:$W$402, "&lt;"&amp;BY1)</f>
        <v>24559184.452612016</v>
      </c>
      <c r="BY11" s="206">
        <f>SUMIFS('Expenditure Breakdown'!$Q$6:$Q$402, 'Expenditure Breakdown'!$W$6:$W$402, "&gt;="&amp;BY1,'Expenditure Breakdown'!$W$6:$W$402, "&lt;"&amp;BZ1)</f>
        <v>109950</v>
      </c>
      <c r="BZ11" s="206">
        <f>SUMIFS('Expenditure Breakdown'!$Q$6:$Q$402, 'Expenditure Breakdown'!$W$6:$W$402, "&gt;="&amp;BZ1,'Expenditure Breakdown'!$W$6:$W$402, "&lt;"&amp;CA1)</f>
        <v>0</v>
      </c>
      <c r="CA11" s="206">
        <f>SUMIFS('Expenditure Breakdown'!$Q$6:$Q$402, 'Expenditure Breakdown'!$W$6:$W$402, "&gt;="&amp;CA1,'Expenditure Breakdown'!$W$6:$W$402, "&lt;"&amp;CB1)</f>
        <v>1829184.2</v>
      </c>
      <c r="CB11" s="206">
        <f>SUMIFS('Expenditure Breakdown'!$Q$6:$Q$402, 'Expenditure Breakdown'!$W$6:$W$402, "&gt;="&amp;CB1,'Expenditure Breakdown'!$W$6:$W$402, "&lt;"&amp;CC1)</f>
        <v>7306246.7459999993</v>
      </c>
      <c r="CC11" s="206">
        <f>SUMIFS('Expenditure Breakdown'!$Q$6:$Q$402, 'Expenditure Breakdown'!$W$6:$W$402, "&gt;="&amp;CC1,'Expenditure Breakdown'!$W$6:$W$402, "&lt;"&amp;CD1)</f>
        <v>39323547.960454904</v>
      </c>
      <c r="CD11" s="206">
        <f>SUMIFS('Expenditure Breakdown'!$Q$6:$Q$402, 'Expenditure Breakdown'!$W$6:$W$402, "&gt;="&amp;CD1,'Expenditure Breakdown'!$W$6:$W$402, "&lt;"&amp;CE1)</f>
        <v>419699.4</v>
      </c>
      <c r="CE11" s="206">
        <f>SUMIFS('Expenditure Breakdown'!$Q$6:$Q$402, 'Expenditure Breakdown'!$W$6:$W$402, "&gt;="&amp;CE1,'Expenditure Breakdown'!$W$6:$W$402, "&lt;"&amp;CF1)</f>
        <v>0</v>
      </c>
      <c r="CF11" s="206">
        <f>SUMIFS('Expenditure Breakdown'!$Q$6:$Q$402, 'Expenditure Breakdown'!$W$6:$W$402, "&gt;="&amp;CF1,'Expenditure Breakdown'!$W$6:$W$402, "&lt;"&amp;CG1)</f>
        <v>0</v>
      </c>
      <c r="CG11" s="206">
        <f>SUMIFS('Expenditure Breakdown'!$Q$6:$Q$402, 'Expenditure Breakdown'!$W$6:$W$402, "&gt;="&amp;CG1,'Expenditure Breakdown'!$W$6:$W$402, "&lt;"&amp;CH1)</f>
        <v>8505083.3449999988</v>
      </c>
      <c r="CH11" s="206">
        <f>SUMIFS('Expenditure Breakdown'!$Q$6:$Q$402, 'Expenditure Breakdown'!$W$6:$W$402, "&gt;="&amp;CH1,'Expenditure Breakdown'!$W$6:$W$402, "&lt;"&amp;CI1)</f>
        <v>489699.4</v>
      </c>
      <c r="CI11" s="206">
        <f>SUMIFS('Expenditure Breakdown'!$Q$6:$Q$402, 'Expenditure Breakdown'!$W$6:$W$402, "&gt;="&amp;CI1,'Expenditure Breakdown'!$W$6:$W$402, "&lt;"&amp;CJ1)</f>
        <v>550000</v>
      </c>
      <c r="CJ11" s="206">
        <f>SUMIFS('Expenditure Breakdown'!$Q$6:$Q$402, 'Expenditure Breakdown'!$W$6:$W$402, "&gt;="&amp;CJ1,'Expenditure Breakdown'!$W$6:$W$402, "&lt;"&amp;CK1)</f>
        <v>677642</v>
      </c>
      <c r="CK11" s="206">
        <f>SUMIFS('Expenditure Breakdown'!$Q$6:$Q$402, 'Expenditure Breakdown'!$W$6:$W$402, "&gt;="&amp;CK1,'Expenditure Breakdown'!$W$6:$W$402, "&lt;"&amp;CL1)</f>
        <v>26257.599999999999</v>
      </c>
      <c r="CL11" s="206">
        <f>SUMIFS('Expenditure Breakdown'!$Q$6:$Q$402, 'Expenditure Breakdown'!$W$6:$W$402, "&gt;="&amp;CL1,'Expenditure Breakdown'!$W$6:$W$402, "&lt;"&amp;CM1)</f>
        <v>11037310.339312769</v>
      </c>
      <c r="CM11" s="206">
        <f>SUMIFS('Expenditure Breakdown'!$Q$6:$Q$402, 'Expenditure Breakdown'!$W$6:$W$402, "&gt;="&amp;CM1,'Expenditure Breakdown'!$W$6:$W$402, "&lt;"&amp;CN1)</f>
        <v>613950</v>
      </c>
      <c r="CN11" s="206">
        <f>SUMIFS('Expenditure Breakdown'!$Q$6:$Q$402, 'Expenditure Breakdown'!$W$6:$W$402, "&gt;="&amp;CN1,'Expenditure Breakdown'!$W$6:$W$402, "&lt;"&amp;CO1)</f>
        <v>75000</v>
      </c>
      <c r="CO11" s="206">
        <f>SUMIFS('Expenditure Breakdown'!$Q$6:$Q$402, 'Expenditure Breakdown'!$W$6:$W$402, "&gt;="&amp;CO1,'Expenditure Breakdown'!$W$6:$W$402, "&lt;"&amp;CP1)</f>
        <v>0</v>
      </c>
      <c r="CP11" s="206">
        <f>SUMIFS('Expenditure Breakdown'!$Q$6:$Q$402, 'Expenditure Breakdown'!$W$6:$W$402, "&gt;="&amp;CP1,'Expenditure Breakdown'!$W$6:$W$402, "&lt;"&amp;CQ1)</f>
        <v>1246660.925</v>
      </c>
      <c r="CQ11" s="206">
        <f>SUMIFS('Expenditure Breakdown'!$Q$6:$Q$402, 'Expenditure Breakdown'!$W$6:$W$402, "&gt;="&amp;CQ1,'Expenditure Breakdown'!$W$6:$W$402, "&lt;"&amp;CR1)</f>
        <v>115000</v>
      </c>
      <c r="CR11" s="206">
        <f>SUMIFS('Expenditure Breakdown'!$Q$6:$Q$402, 'Expenditure Breakdown'!$W$6:$W$402, "&gt;="&amp;CR1,'Expenditure Breakdown'!$W$6:$W$402, "&lt;"&amp;CS1)</f>
        <v>0</v>
      </c>
      <c r="CS11" s="206">
        <f>SUMIFS('Expenditure Breakdown'!$Q$6:$Q$402, 'Expenditure Breakdown'!$W$6:$W$402, "&gt;="&amp;CS1,'Expenditure Breakdown'!$W$6:$W$402, "&lt;"&amp;CT1)</f>
        <v>0</v>
      </c>
      <c r="CT11" s="206">
        <f>SUMIFS('Expenditure Breakdown'!$Q$6:$Q$402, 'Expenditure Breakdown'!$W$6:$W$402, "&gt;="&amp;CT1,'Expenditure Breakdown'!$W$6:$W$402, "&lt;"&amp;CU1)</f>
        <v>57500</v>
      </c>
      <c r="CU11" s="206">
        <f>SUMIFS('Expenditure Breakdown'!$Q$6:$Q$402, 'Expenditure Breakdown'!$W$6:$W$402, "&gt;="&amp;CU1,'Expenditure Breakdown'!$W$6:$W$402, "&lt;"&amp;CV1)</f>
        <v>0</v>
      </c>
      <c r="CV11" s="206">
        <f>SUMIFS('Expenditure Breakdown'!$Q$6:$Q$402, 'Expenditure Breakdown'!$W$6:$W$402, "&gt;="&amp;CV1,'Expenditure Breakdown'!$W$6:$W$402, "&lt;"&amp;CW1)</f>
        <v>0</v>
      </c>
      <c r="CW11" s="206">
        <f>SUMIFS('Expenditure Breakdown'!$Q$6:$Q$402, 'Expenditure Breakdown'!$W$6:$W$402, "&gt;="&amp;CW1,'Expenditure Breakdown'!$W$6:$W$402, "&lt;"&amp;CX1)</f>
        <v>0</v>
      </c>
      <c r="CX11" s="206">
        <f>SUMIFS('Expenditure Breakdown'!$Q$6:$Q$402, 'Expenditure Breakdown'!$W$6:$W$402, "&gt;="&amp;CX1,'Expenditure Breakdown'!$W$6:$W$402, "&lt;"&amp;CY1)</f>
        <v>0</v>
      </c>
      <c r="CY11" s="206">
        <f>SUMIFS('Expenditure Breakdown'!$Q$6:$Q$402, 'Expenditure Breakdown'!$W$6:$W$402, "&gt;="&amp;CY1,'Expenditure Breakdown'!$W$6:$W$402, "&lt;"&amp;CZ1)</f>
        <v>0</v>
      </c>
      <c r="CZ11" s="206">
        <f>SUMIFS('Expenditure Breakdown'!$Q$6:$Q$402, 'Expenditure Breakdown'!$W$6:$W$402, "&gt;="&amp;CZ1,'Expenditure Breakdown'!$W$6:$W$402, "&lt;"&amp;DA1)</f>
        <v>0</v>
      </c>
      <c r="DA11" s="206">
        <f>SUMIFS('Expenditure Breakdown'!$Q$6:$Q$402, 'Expenditure Breakdown'!$W$6:$W$402, "&gt;="&amp;DA1,'Expenditure Breakdown'!$W$6:$W$402, "&lt;"&amp;DB1)</f>
        <v>0</v>
      </c>
      <c r="DB11" s="206">
        <f>SUMIFS('Expenditure Breakdown'!$Q$6:$Q$402, 'Expenditure Breakdown'!$W$6:$W$402, "&gt;="&amp;DB1,'Expenditure Breakdown'!$W$6:$W$402, "&lt;"&amp;DC1)</f>
        <v>0</v>
      </c>
      <c r="DC11" s="206">
        <f>SUMIFS('Expenditure Breakdown'!$Q$6:$Q$402, 'Expenditure Breakdown'!$W$6:$W$402, "&gt;="&amp;DC1,'Expenditure Breakdown'!$W$6:$W$402, "&lt;"&amp;DD1)</f>
        <v>0</v>
      </c>
      <c r="DD11" s="206">
        <f>SUMIFS('Expenditure Breakdown'!$Q$6:$Q$402, 'Expenditure Breakdown'!$W$6:$W$402, "&gt;="&amp;DD1,'Expenditure Breakdown'!$W$6:$W$402, "&lt;"&amp;DE1)</f>
        <v>0</v>
      </c>
      <c r="DE11" s="206">
        <f>SUMIFS('Expenditure Breakdown'!$Q$6:$Q$402, 'Expenditure Breakdown'!$W$6:$W$402, "&gt;="&amp;DE1,'Expenditure Breakdown'!$W$6:$W$402, "&lt;"&amp;DF1)</f>
        <v>0</v>
      </c>
      <c r="DF11" s="206">
        <f>SUMIFS('Expenditure Breakdown'!$Q$6:$Q$402, 'Expenditure Breakdown'!$W$6:$W$402, "&gt;="&amp;DF1,'Expenditure Breakdown'!$W$6:$W$402, "&lt;"&amp;DG1)</f>
        <v>0</v>
      </c>
      <c r="DG11" s="206">
        <f>SUMIFS('Expenditure Breakdown'!$Q$6:$Q$402, 'Expenditure Breakdown'!$W$6:$W$402, "&gt;="&amp;DG1,'Expenditure Breakdown'!$W$6:$W$402, "&lt;"&amp;DH1)</f>
        <v>0</v>
      </c>
      <c r="DH11" s="206">
        <f>SUMIFS('Expenditure Breakdown'!$Q$6:$Q$402, 'Expenditure Breakdown'!$W$6:$W$402, "&gt;="&amp;DH1,'Expenditure Breakdown'!$W$6:$W$402, "&lt;"&amp;DI1)</f>
        <v>0</v>
      </c>
      <c r="DI11" s="206">
        <f>SUMIFS('Expenditure Breakdown'!$Q$6:$Q$402, 'Expenditure Breakdown'!$W$6:$W$402, "&gt;="&amp;DI1,'Expenditure Breakdown'!$W$6:$W$402, "&lt;"&amp;DJ1)</f>
        <v>0</v>
      </c>
      <c r="DJ11" s="206">
        <f>SUMIFS('Expenditure Breakdown'!$Q$6:$Q$402, 'Expenditure Breakdown'!$W$6:$W$402, "&gt;="&amp;DJ1,'Expenditure Breakdown'!$W$6:$W$402, "&lt;"&amp;DK1)</f>
        <v>0</v>
      </c>
      <c r="DK11" s="206">
        <f>SUMIFS('Expenditure Breakdown'!$Q$6:$Q$402, 'Expenditure Breakdown'!$W$6:$W$402, "&gt;="&amp;DK1,'Expenditure Breakdown'!$W$6:$W$402, "&lt;"&amp;DL1)</f>
        <v>0</v>
      </c>
      <c r="DL11" s="206">
        <f>SUMIFS('Expenditure Breakdown'!$Q$6:$Q$402, 'Expenditure Breakdown'!$W$6:$W$402, "&gt;="&amp;DL1,'Expenditure Breakdown'!$W$6:$W$402, "&lt;"&amp;DM1)</f>
        <v>0</v>
      </c>
      <c r="DM11" s="206">
        <f>SUMIFS('Expenditure Breakdown'!$Q$6:$Q$402, 'Expenditure Breakdown'!$W$6:$W$402, "&gt;="&amp;DM1,'Expenditure Breakdown'!$W$6:$W$402, "&lt;"&amp;DN1)</f>
        <v>0</v>
      </c>
      <c r="DN11" s="206">
        <f>SUMIFS('Expenditure Breakdown'!$Q$6:$Q$402, 'Expenditure Breakdown'!$W$6:$W$402, "&gt;="&amp;DN1,'Expenditure Breakdown'!$W$6:$W$402, "&lt;"&amp;DO1)</f>
        <v>0</v>
      </c>
      <c r="DO11" s="206">
        <f>SUMIFS('Expenditure Breakdown'!$Q$6:$Q$402, 'Expenditure Breakdown'!$W$6:$W$402, "&gt;="&amp;DO1,'Expenditure Breakdown'!$W$6:$W$402, "&lt;"&amp;DP1)</f>
        <v>0</v>
      </c>
      <c r="DP11" s="206">
        <f>SUMIFS('Expenditure Breakdown'!$Q$6:$Q$402, 'Expenditure Breakdown'!$W$6:$W$402, "&gt;="&amp;DP1,'Expenditure Breakdown'!$W$6:$W$402, "&lt;"&amp;DQ1)</f>
        <v>0</v>
      </c>
      <c r="DQ11" s="206">
        <f>SUMIFS('Expenditure Breakdown'!$Q$6:$Q$402, 'Expenditure Breakdown'!$W$6:$W$402, "&gt;="&amp;DQ1,'Expenditure Breakdown'!$W$6:$W$402, "&lt;"&amp;DR1)</f>
        <v>0</v>
      </c>
      <c r="DR11" s="206">
        <f>SUMIFS('Expenditure Breakdown'!$Q$6:$Q$402, 'Expenditure Breakdown'!$W$6:$W$402, "&gt;="&amp;DR1,'Expenditure Breakdown'!$W$6:$W$402, "&lt;"&amp;DS1)</f>
        <v>0</v>
      </c>
      <c r="DS11" s="206">
        <f>SUMIFS('Expenditure Breakdown'!$Q$6:$Q$402, 'Expenditure Breakdown'!$W$6:$W$402, "&gt;="&amp;DS1,'Expenditure Breakdown'!$W$6:$W$402, "&lt;"&amp;DT1)</f>
        <v>0</v>
      </c>
      <c r="DT11" s="206">
        <f>SUMIFS('Expenditure Breakdown'!$Q$6:$Q$402, 'Expenditure Breakdown'!$W$6:$W$402, "&gt;="&amp;DT1,'Expenditure Breakdown'!$W$6:$W$402, "&lt;"&amp;DU1)</f>
        <v>0</v>
      </c>
      <c r="DU11" s="206">
        <f>SUMIFS('Expenditure Breakdown'!$Q$6:$Q$402, 'Expenditure Breakdown'!$W$6:$W$402, "&gt;="&amp;DU1,'Expenditure Breakdown'!$W$6:$W$402, "&lt;"&amp;DV1)</f>
        <v>0</v>
      </c>
      <c r="DV11" s="206">
        <f>SUMIFS('Expenditure Breakdown'!$Q$6:$Q$402, 'Expenditure Breakdown'!$W$6:$W$402, "&gt;="&amp;DV1,'Expenditure Breakdown'!$W$6:$W$402, "&lt;"&amp;DW1)</f>
        <v>0</v>
      </c>
      <c r="DW11" s="206">
        <f>SUMIFS('Expenditure Breakdown'!$Q$6:$Q$402, 'Expenditure Breakdown'!$W$6:$W$402, "&gt;="&amp;DW1,'Expenditure Breakdown'!$W$6:$W$402, "&lt;"&amp;DX1)</f>
        <v>0</v>
      </c>
      <c r="DX11" s="206">
        <f>SUMIFS('Expenditure Breakdown'!$Q$6:$Q$402, 'Expenditure Breakdown'!$W$6:$W$402, "&gt;="&amp;DX1,'Expenditure Breakdown'!$W$6:$W$402, "&lt;"&amp;DY1)</f>
        <v>0</v>
      </c>
      <c r="DY11" s="206">
        <f>SUMIFS('Expenditure Breakdown'!$Q$6:$Q$402, 'Expenditure Breakdown'!$W$6:$W$402, "&gt;="&amp;DY1,'Expenditure Breakdown'!$W$6:$W$402, "&lt;"&amp;DZ1)</f>
        <v>0</v>
      </c>
      <c r="DZ11" s="206">
        <f>SUMIFS('Expenditure Breakdown'!$Q$6:$Q$402, 'Expenditure Breakdown'!$W$6:$W$402, "&gt;="&amp;DZ1,'Expenditure Breakdown'!$W$6:$W$402, "&lt;"&amp;EA1)</f>
        <v>0</v>
      </c>
      <c r="EA11" s="206">
        <f>SUMIFS('Expenditure Breakdown'!$Q$6:$Q$402, 'Expenditure Breakdown'!$W$6:$W$402, "&gt;="&amp;EA1,'Expenditure Breakdown'!$W$6:$W$402, "&lt;"&amp;EB1)</f>
        <v>0</v>
      </c>
      <c r="EB11" s="206">
        <f>SUMIFS('Expenditure Breakdown'!$Q$6:$Q$402, 'Expenditure Breakdown'!$W$6:$W$402, "&gt;="&amp;EB1,'Expenditure Breakdown'!$W$6:$W$402, "&lt;"&amp;EC1)</f>
        <v>0</v>
      </c>
      <c r="EC11" s="206">
        <f>SUMIFS('Expenditure Breakdown'!$Q$6:$Q$402, 'Expenditure Breakdown'!$W$6:$W$402, "&gt;="&amp;EC1,'Expenditure Breakdown'!$W$6:$W$402, "&lt;"&amp;ED1)</f>
        <v>0</v>
      </c>
      <c r="ED11" s="206">
        <f>SUMIFS('Expenditure Breakdown'!$Q$6:$Q$402, 'Expenditure Breakdown'!$W$6:$W$402, "&gt;="&amp;ED1,'Expenditure Breakdown'!$W$6:$W$402, "&lt;"&amp;EE1)</f>
        <v>0</v>
      </c>
      <c r="EE11" s="206">
        <f>SUMIFS('Expenditure Breakdown'!$Q$6:$Q$402, 'Expenditure Breakdown'!$W$6:$W$402, "&gt;="&amp;EE1,'Expenditure Breakdown'!$W$6:$W$402, "&lt;"&amp;EF1)</f>
        <v>0</v>
      </c>
      <c r="EF11" s="206">
        <f>SUMIFS('Expenditure Breakdown'!$Q$6:$Q$402, 'Expenditure Breakdown'!$W$6:$W$402, "&gt;="&amp;EF1,'Expenditure Breakdown'!$W$6:$W$402, "&lt;"&amp;EG1)</f>
        <v>0</v>
      </c>
      <c r="EG11" s="206">
        <f>SUMIFS('Expenditure Breakdown'!$Q$6:$Q$402, 'Expenditure Breakdown'!$W$6:$W$402, "&gt;="&amp;EG1,'Expenditure Breakdown'!$W$6:$W$402, "&lt;"&amp;EH1)</f>
        <v>0</v>
      </c>
      <c r="EH11" s="206">
        <f>SUMIFS('Expenditure Breakdown'!$Q$6:$Q$402, 'Expenditure Breakdown'!$W$6:$W$402, "&gt;="&amp;EH1,'Expenditure Breakdown'!$W$6:$W$402, "&lt;"&amp;EI1)</f>
        <v>0</v>
      </c>
      <c r="EI11" s="206">
        <f>SUMIFS('Expenditure Breakdown'!$Q$6:$Q$402, 'Expenditure Breakdown'!$W$6:$W$402, "&gt;="&amp;EI1,'Expenditure Breakdown'!$W$6:$W$402, "&lt;"&amp;EJ1)</f>
        <v>0</v>
      </c>
      <c r="EJ11" s="206">
        <f>SUMIFS('Expenditure Breakdown'!$Q$6:$Q$402, 'Expenditure Breakdown'!$W$6:$W$402, "&gt;="&amp;EJ1,'Expenditure Breakdown'!$W$6:$W$402, "&lt;"&amp;EK1)</f>
        <v>0</v>
      </c>
      <c r="EK11" s="206">
        <f>SUMIFS('Expenditure Breakdown'!$Q$6:$Q$402, 'Expenditure Breakdown'!$W$6:$W$402, "&gt;="&amp;EK1,'Expenditure Breakdown'!$W$6:$W$402, "&lt;"&amp;EL1)</f>
        <v>0</v>
      </c>
      <c r="EL11" s="206">
        <f>SUMIFS('Expenditure Breakdown'!$Q$6:$Q$402, 'Expenditure Breakdown'!$W$6:$W$402, "&gt;="&amp;EL1,'Expenditure Breakdown'!$W$6:$W$402, "&lt;"&amp;EM1)</f>
        <v>956560.92500000005</v>
      </c>
      <c r="EM11" s="206">
        <f>SUMIFS('Expenditure Breakdown'!$Q$6:$Q$402, 'Expenditure Breakdown'!$W$6:$W$402, "&gt;="&amp;EM1,'Expenditure Breakdown'!$W$6:$W$402, "&lt;"&amp;EN1)</f>
        <v>0</v>
      </c>
      <c r="EN11" s="206">
        <f>SUMIFS('Expenditure Breakdown'!$Q$6:$Q$402, 'Expenditure Breakdown'!$W$6:$W$402, "&gt;="&amp;EN1,'Expenditure Breakdown'!$W$6:$W$402, "&lt;"&amp;EO1)</f>
        <v>0</v>
      </c>
      <c r="EO11" s="206">
        <f>SUMIFS('Expenditure Breakdown'!$Q$6:$Q$402, 'Expenditure Breakdown'!$W$6:$W$402, "&gt;="&amp;EO1,'Expenditure Breakdown'!$W$6:$W$402, "&lt;"&amp;EP1)</f>
        <v>0</v>
      </c>
      <c r="EP11" s="206">
        <f>SUMIFS('Expenditure Breakdown'!$Q$6:$Q$402, 'Expenditure Breakdown'!$W$6:$W$402, "&gt;="&amp;EP1,'Expenditure Breakdown'!$W$6:$W$402, "&lt;"&amp;EQ1)</f>
        <v>0</v>
      </c>
      <c r="EQ11" s="206">
        <f>SUMIFS('Expenditure Breakdown'!$Q$6:$Q$402, 'Expenditure Breakdown'!$W$6:$W$402, "&gt;="&amp;EQ1,'Expenditure Breakdown'!$W$6:$W$402, "&lt;"&amp;ER1)</f>
        <v>0</v>
      </c>
      <c r="ER11" s="206">
        <f>SUMIFS('Expenditure Breakdown'!$Q$6:$Q$402, 'Expenditure Breakdown'!$W$6:$W$402, "&gt;="&amp;ER1,'Expenditure Breakdown'!$W$6:$W$402, "&lt;"&amp;ES1)</f>
        <v>0</v>
      </c>
      <c r="ES11" s="206">
        <f>SUMIFS('Expenditure Breakdown'!$Q$6:$Q$402, 'Expenditure Breakdown'!$W$6:$W$402, "&gt;="&amp;ES1,'Expenditure Breakdown'!$W$6:$W$402, "&lt;"&amp;ET1)</f>
        <v>0</v>
      </c>
      <c r="ET11" s="206">
        <f>SUMIFS('Expenditure Breakdown'!$Q$6:$Q$402, 'Expenditure Breakdown'!$W$6:$W$402, "&gt;="&amp;ET1,'Expenditure Breakdown'!$W$6:$W$402, "&lt;"&amp;EU1)</f>
        <v>0</v>
      </c>
      <c r="EU11" s="206">
        <f>SUMIFS('Expenditure Breakdown'!$Q$6:$Q$402, 'Expenditure Breakdown'!$W$6:$W$402, "&gt;="&amp;EU1,'Expenditure Breakdown'!$W$6:$W$402, "&lt;"&amp;EV1)</f>
        <v>0</v>
      </c>
      <c r="EV11" s="206">
        <f>SUMIFS('Expenditure Breakdown'!$Q$6:$Q$402, 'Expenditure Breakdown'!$W$6:$W$402, "&gt;="&amp;EV1,'Expenditure Breakdown'!$W$6:$W$402, "&lt;"&amp;EW1)</f>
        <v>0</v>
      </c>
      <c r="EW11" s="206">
        <f>SUMIFS('Expenditure Breakdown'!$Q$6:$Q$402, 'Expenditure Breakdown'!$W$6:$W$402, "&gt;="&amp;EW1,'Expenditure Breakdown'!$W$6:$W$402, "&lt;"&amp;EX1)</f>
        <v>0</v>
      </c>
      <c r="EX11" s="206">
        <f>SUMIFS('Expenditure Breakdown'!$Q$6:$Q$402, 'Expenditure Breakdown'!$W$6:$W$402, "&gt;="&amp;EX1,'Expenditure Breakdown'!$W$6:$W$402, "&lt;"&amp;EY1)</f>
        <v>0</v>
      </c>
      <c r="EY11" s="206">
        <f>SUMIFS('Expenditure Breakdown'!$Q$6:$Q$402, 'Expenditure Breakdown'!$W$6:$W$402, "&gt;="&amp;EY1,'Expenditure Breakdown'!$W$6:$W$402, "&lt;"&amp;EZ1)</f>
        <v>0</v>
      </c>
      <c r="EZ11" s="206">
        <f>SUMIFS('Expenditure Breakdown'!$Q$6:$Q$402, 'Expenditure Breakdown'!$W$6:$W$402, "&gt;="&amp;EZ1,'Expenditure Breakdown'!$W$6:$W$402, "&lt;"&amp;FA1)</f>
        <v>0</v>
      </c>
      <c r="FA11" s="206">
        <f>SUMIFS('Expenditure Breakdown'!$Q$6:$Q$402, 'Expenditure Breakdown'!$W$6:$W$402, "&gt;="&amp;FA1,'Expenditure Breakdown'!$W$6:$W$402, "&lt;"&amp;FB1)</f>
        <v>0</v>
      </c>
      <c r="FB11" s="206">
        <f>SUMIFS('Expenditure Breakdown'!$Q$6:$Q$402, 'Expenditure Breakdown'!$W$6:$W$402, "&gt;="&amp;FB1,'Expenditure Breakdown'!$W$6:$W$402, "&lt;"&amp;FC1)</f>
        <v>0</v>
      </c>
      <c r="FC11" s="206">
        <f>SUMIFS('Expenditure Breakdown'!$Q$6:$Q$402, 'Expenditure Breakdown'!$W$6:$W$402, "&gt;="&amp;FC1,'Expenditure Breakdown'!$W$6:$W$402, "&lt;"&amp;FD1)</f>
        <v>0</v>
      </c>
      <c r="FD11" s="206">
        <f>SUMIFS('Expenditure Breakdown'!$Q$6:$Q$402, 'Expenditure Breakdown'!$W$6:$W$402, "&gt;="&amp;FD1,'Expenditure Breakdown'!$W$6:$W$402, "&lt;"&amp;FE1)</f>
        <v>0</v>
      </c>
      <c r="FE11" s="183"/>
      <c r="FF11" s="194"/>
      <c r="FG11" s="194"/>
    </row>
    <row r="12" spans="1:638" s="195" customFormat="1" ht="15" customHeight="1">
      <c r="A12" s="1016"/>
      <c r="B12" s="204" t="s">
        <v>1309</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7683054.0404950008</v>
      </c>
      <c r="BJ12" s="206">
        <f t="shared" si="230"/>
        <v>14062534.052995</v>
      </c>
      <c r="BK12" s="206">
        <f t="shared" si="230"/>
        <v>19209311.288073201</v>
      </c>
      <c r="BL12" s="206">
        <f t="shared" si="230"/>
        <v>25820449.008073203</v>
      </c>
      <c r="BM12" s="206">
        <f t="shared" si="230"/>
        <v>26195449.008073203</v>
      </c>
      <c r="BN12" s="206">
        <f t="shared" si="230"/>
        <v>26195449.008073203</v>
      </c>
      <c r="BO12" s="206">
        <f t="shared" si="230"/>
        <v>27045130.908073202</v>
      </c>
      <c r="BP12" s="206">
        <f t="shared" si="230"/>
        <v>32117655.772073202</v>
      </c>
      <c r="BQ12" s="206">
        <f t="shared" si="230"/>
        <v>33111853.972073201</v>
      </c>
      <c r="BR12" s="206">
        <f t="shared" si="230"/>
        <v>33111853.972073201</v>
      </c>
      <c r="BS12" s="206">
        <f t="shared" si="230"/>
        <v>33111853.972073201</v>
      </c>
      <c r="BT12" s="206">
        <f t="shared" si="230"/>
        <v>43016774.358073205</v>
      </c>
      <c r="BU12" s="206">
        <f t="shared" ref="BU12:DB12" si="231">BT12+BU11</f>
        <v>46328947.219598264</v>
      </c>
      <c r="BV12" s="206">
        <f t="shared" si="231"/>
        <v>46328947.219598264</v>
      </c>
      <c r="BW12" s="206">
        <f t="shared" si="231"/>
        <v>46678947.219598264</v>
      </c>
      <c r="BX12" s="206">
        <f t="shared" si="231"/>
        <v>71238131.672210276</v>
      </c>
      <c r="BY12" s="206">
        <f t="shared" si="231"/>
        <v>71348081.672210276</v>
      </c>
      <c r="BZ12" s="206">
        <f t="shared" si="231"/>
        <v>71348081.672210276</v>
      </c>
      <c r="CA12" s="206">
        <f t="shared" si="231"/>
        <v>73177265.872210279</v>
      </c>
      <c r="CB12" s="206">
        <f t="shared" si="231"/>
        <v>80483512.618210286</v>
      </c>
      <c r="CC12" s="206">
        <f t="shared" si="231"/>
        <v>119807060.5786652</v>
      </c>
      <c r="CD12" s="206">
        <f t="shared" si="231"/>
        <v>120226759.9786652</v>
      </c>
      <c r="CE12" s="206">
        <f t="shared" si="231"/>
        <v>120226759.9786652</v>
      </c>
      <c r="CF12" s="206">
        <f t="shared" si="231"/>
        <v>120226759.9786652</v>
      </c>
      <c r="CG12" s="206">
        <f t="shared" si="231"/>
        <v>128731843.3236652</v>
      </c>
      <c r="CH12" s="206">
        <f t="shared" si="231"/>
        <v>129221542.72366521</v>
      </c>
      <c r="CI12" s="206">
        <f t="shared" si="231"/>
        <v>129771542.72366521</v>
      </c>
      <c r="CJ12" s="206">
        <f t="shared" si="231"/>
        <v>130449184.72366521</v>
      </c>
      <c r="CK12" s="206">
        <f t="shared" si="231"/>
        <v>130475442.3236652</v>
      </c>
      <c r="CL12" s="206">
        <f t="shared" si="231"/>
        <v>141512752.66297796</v>
      </c>
      <c r="CM12" s="206">
        <f t="shared" si="231"/>
        <v>142126702.66297796</v>
      </c>
      <c r="CN12" s="206">
        <f t="shared" si="231"/>
        <v>142201702.66297796</v>
      </c>
      <c r="CO12" s="206">
        <f t="shared" si="231"/>
        <v>142201702.66297796</v>
      </c>
      <c r="CP12" s="206">
        <f t="shared" si="231"/>
        <v>143448363.58797798</v>
      </c>
      <c r="CQ12" s="206">
        <f t="shared" si="231"/>
        <v>143563363.58797798</v>
      </c>
      <c r="CR12" s="206">
        <f t="shared" si="231"/>
        <v>143563363.58797798</v>
      </c>
      <c r="CS12" s="206">
        <f t="shared" si="231"/>
        <v>143563363.58797798</v>
      </c>
      <c r="CT12" s="206">
        <f t="shared" si="231"/>
        <v>143620863.58797798</v>
      </c>
      <c r="CU12" s="206">
        <f t="shared" si="231"/>
        <v>143620863.58797798</v>
      </c>
      <c r="CV12" s="206">
        <f t="shared" si="231"/>
        <v>143620863.58797798</v>
      </c>
      <c r="CW12" s="206">
        <f t="shared" si="231"/>
        <v>143620863.58797798</v>
      </c>
      <c r="CX12" s="206">
        <f t="shared" si="231"/>
        <v>143620863.58797798</v>
      </c>
      <c r="CY12" s="206">
        <f t="shared" si="231"/>
        <v>143620863.58797798</v>
      </c>
      <c r="CZ12" s="206">
        <f t="shared" si="231"/>
        <v>143620863.58797798</v>
      </c>
      <c r="DA12" s="206">
        <f t="shared" si="231"/>
        <v>143620863.58797798</v>
      </c>
      <c r="DB12" s="206">
        <f t="shared" si="231"/>
        <v>143620863.58797798</v>
      </c>
      <c r="DC12" s="206">
        <f t="shared" ref="DC12" si="232">DB12+DC11</f>
        <v>143620863.58797798</v>
      </c>
      <c r="DD12" s="206">
        <f t="shared" ref="DD12" si="233">DC12+DD11</f>
        <v>143620863.58797798</v>
      </c>
      <c r="DE12" s="206">
        <f t="shared" ref="DE12" si="234">DD12+DE11</f>
        <v>143620863.58797798</v>
      </c>
      <c r="DF12" s="206">
        <f t="shared" ref="DF12" si="235">DE12+DF11</f>
        <v>143620863.58797798</v>
      </c>
      <c r="DG12" s="206">
        <f t="shared" ref="DG12" si="236">DF12+DG11</f>
        <v>143620863.58797798</v>
      </c>
      <c r="DH12" s="206">
        <f t="shared" ref="DH12" si="237">DG12+DH11</f>
        <v>143620863.58797798</v>
      </c>
      <c r="DI12" s="206">
        <f t="shared" ref="DI12" si="238">DH12+DI11</f>
        <v>143620863.58797798</v>
      </c>
      <c r="DJ12" s="206">
        <f t="shared" ref="DJ12" si="239">DI12+DJ11</f>
        <v>143620863.58797798</v>
      </c>
      <c r="DK12" s="206">
        <f t="shared" ref="DK12" si="240">DJ12+DK11</f>
        <v>143620863.58797798</v>
      </c>
      <c r="DL12" s="206">
        <f t="shared" ref="DL12" si="241">DK12+DL11</f>
        <v>143620863.58797798</v>
      </c>
      <c r="DM12" s="206">
        <f t="shared" ref="DM12" si="242">DL12+DM11</f>
        <v>143620863.58797798</v>
      </c>
      <c r="DN12" s="206">
        <f t="shared" ref="DN12" si="243">DM12+DN11</f>
        <v>143620863.58797798</v>
      </c>
      <c r="DO12" s="206">
        <f t="shared" ref="DO12" si="244">DN12+DO11</f>
        <v>143620863.58797798</v>
      </c>
      <c r="DP12" s="206">
        <f t="shared" ref="DP12" si="245">DO12+DP11</f>
        <v>143620863.58797798</v>
      </c>
      <c r="DQ12" s="206">
        <f t="shared" ref="DQ12" si="246">DP12+DQ11</f>
        <v>143620863.58797798</v>
      </c>
      <c r="DR12" s="206">
        <f t="shared" ref="DR12" si="247">DQ12+DR11</f>
        <v>143620863.58797798</v>
      </c>
      <c r="DS12" s="206">
        <f t="shared" ref="DS12" si="248">DR12+DS11</f>
        <v>143620863.58797798</v>
      </c>
      <c r="DT12" s="206">
        <f t="shared" ref="DT12" si="249">DS12+DT11</f>
        <v>143620863.58797798</v>
      </c>
      <c r="DU12" s="206">
        <f t="shared" ref="DU12" si="250">DT12+DU11</f>
        <v>143620863.58797798</v>
      </c>
      <c r="DV12" s="206">
        <f t="shared" ref="DV12" si="251">DU12+DV11</f>
        <v>143620863.58797798</v>
      </c>
      <c r="DW12" s="206">
        <f t="shared" ref="DW12" si="252">DV12+DW11</f>
        <v>143620863.58797798</v>
      </c>
      <c r="DX12" s="206">
        <f t="shared" ref="DX12" si="253">DW12+DX11</f>
        <v>143620863.58797798</v>
      </c>
      <c r="DY12" s="206">
        <f t="shared" ref="DY12" si="254">DX12+DY11</f>
        <v>143620863.58797798</v>
      </c>
      <c r="DZ12" s="206">
        <f t="shared" ref="DZ12" si="255">DY12+DZ11</f>
        <v>143620863.58797798</v>
      </c>
      <c r="EA12" s="206">
        <f t="shared" ref="EA12" si="256">DZ12+EA11</f>
        <v>143620863.58797798</v>
      </c>
      <c r="EB12" s="206">
        <f t="shared" ref="EB12" si="257">EA12+EB11</f>
        <v>143620863.58797798</v>
      </c>
      <c r="EC12" s="206">
        <f t="shared" ref="EC12" si="258">EB12+EC11</f>
        <v>143620863.58797798</v>
      </c>
      <c r="ED12" s="206">
        <f t="shared" ref="ED12" si="259">EC12+ED11</f>
        <v>143620863.58797798</v>
      </c>
      <c r="EE12" s="206">
        <f t="shared" ref="EE12" si="260">ED12+EE11</f>
        <v>143620863.58797798</v>
      </c>
      <c r="EF12" s="206">
        <f t="shared" ref="EF12" si="261">EE12+EF11</f>
        <v>143620863.58797798</v>
      </c>
      <c r="EG12" s="206">
        <f t="shared" ref="EG12" si="262">EF12+EG11</f>
        <v>143620863.58797798</v>
      </c>
      <c r="EH12" s="206">
        <f t="shared" ref="EH12" si="263">EG12+EH11</f>
        <v>143620863.58797798</v>
      </c>
      <c r="EI12" s="206">
        <f t="shared" ref="EI12" si="264">EH12+EI11</f>
        <v>143620863.58797798</v>
      </c>
      <c r="EJ12" s="206">
        <f t="shared" ref="EJ12" si="265">EI12+EJ11</f>
        <v>143620863.58797798</v>
      </c>
      <c r="EK12" s="206">
        <f t="shared" ref="EK12" si="266">EJ12+EK11</f>
        <v>143620863.58797798</v>
      </c>
      <c r="EL12" s="206">
        <f t="shared" ref="EL12" si="267">EK12+EL11</f>
        <v>144577424.51297799</v>
      </c>
      <c r="EM12" s="206">
        <f t="shared" ref="EM12" si="268">EL12+EM11</f>
        <v>144577424.51297799</v>
      </c>
      <c r="EN12" s="206">
        <f t="shared" ref="EN12" si="269">EM12+EN11</f>
        <v>144577424.51297799</v>
      </c>
      <c r="EO12" s="206">
        <f t="shared" ref="EO12" si="270">EN12+EO11</f>
        <v>144577424.51297799</v>
      </c>
      <c r="EP12" s="206">
        <f t="shared" ref="EP12" si="271">EO12+EP11</f>
        <v>144577424.51297799</v>
      </c>
      <c r="EQ12" s="206">
        <f t="shared" ref="EQ12" si="272">EP12+EQ11</f>
        <v>144577424.51297799</v>
      </c>
      <c r="ER12" s="206">
        <f t="shared" ref="ER12" si="273">EQ12+ER11</f>
        <v>144577424.51297799</v>
      </c>
      <c r="ES12" s="206">
        <f t="shared" ref="ES12" si="274">ER12+ES11</f>
        <v>144577424.51297799</v>
      </c>
      <c r="ET12" s="206">
        <f t="shared" ref="ET12" si="275">ES12+ET11</f>
        <v>144577424.51297799</v>
      </c>
      <c r="EU12" s="206">
        <f t="shared" ref="EU12" si="276">ET12+EU11</f>
        <v>144577424.51297799</v>
      </c>
      <c r="EV12" s="206">
        <f t="shared" ref="EV12" si="277">EU12+EV11</f>
        <v>144577424.51297799</v>
      </c>
      <c r="EW12" s="206">
        <f t="shared" ref="EW12" si="278">EV12+EW11</f>
        <v>144577424.51297799</v>
      </c>
      <c r="EX12" s="206">
        <f t="shared" ref="EX12" si="279">EW12+EX11</f>
        <v>144577424.51297799</v>
      </c>
      <c r="EY12" s="206">
        <f t="shared" ref="EY12" si="280">EX12+EY11</f>
        <v>144577424.51297799</v>
      </c>
      <c r="EZ12" s="206">
        <f t="shared" ref="EZ12" si="281">EY12+EZ11</f>
        <v>144577424.51297799</v>
      </c>
      <c r="FA12" s="206">
        <f t="shared" ref="FA12" si="282">EZ12+FA11</f>
        <v>144577424.51297799</v>
      </c>
      <c r="FB12" s="206">
        <f t="shared" ref="FB12" si="283">FA12+FB11</f>
        <v>144577424.51297799</v>
      </c>
      <c r="FC12" s="206">
        <f t="shared" ref="FC12" si="284">FB12+FC11</f>
        <v>144577424.51297799</v>
      </c>
      <c r="FD12" s="206">
        <f t="shared" ref="FD12" si="285">FC12+FD11</f>
        <v>144577424.51297799</v>
      </c>
      <c r="FE12" s="183"/>
      <c r="FF12" s="194"/>
    </row>
    <row r="13" spans="1:638" s="183" customFormat="1" ht="15" customHeight="1">
      <c r="A13" s="1016"/>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1016"/>
      <c r="B14" s="196" t="s">
        <v>1310</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-7683054.0404950008</v>
      </c>
      <c r="BJ14" s="199">
        <f t="shared" si="287"/>
        <v>-14062534.052995</v>
      </c>
      <c r="BK14" s="199">
        <f t="shared" si="287"/>
        <v>-19209311.288073201</v>
      </c>
      <c r="BL14" s="199">
        <f t="shared" si="287"/>
        <v>-25820449.008073203</v>
      </c>
      <c r="BM14" s="199">
        <f t="shared" si="287"/>
        <v>-26195449.008073203</v>
      </c>
      <c r="BN14" s="199">
        <f t="shared" si="287"/>
        <v>-26195449.008073203</v>
      </c>
      <c r="BO14" s="199">
        <f t="shared" si="287"/>
        <v>-27045130.908073202</v>
      </c>
      <c r="BP14" s="199">
        <f t="shared" si="287"/>
        <v>-32117655.772073202</v>
      </c>
      <c r="BQ14" s="199">
        <f t="shared" si="287"/>
        <v>-33111853.972073201</v>
      </c>
      <c r="BR14" s="199">
        <f t="shared" si="287"/>
        <v>-33111853.972073201</v>
      </c>
      <c r="BS14" s="199">
        <f t="shared" si="287"/>
        <v>-33111853.972073201</v>
      </c>
      <c r="BT14" s="199">
        <f t="shared" si="287"/>
        <v>2483225.6419267952</v>
      </c>
      <c r="BU14" s="199">
        <f t="shared" ref="BU14:DB14" si="288">BU10-BU12</f>
        <v>-828947.2195982635</v>
      </c>
      <c r="BV14" s="199">
        <f t="shared" si="288"/>
        <v>-828947.2195982635</v>
      </c>
      <c r="BW14" s="199">
        <f t="shared" si="288"/>
        <v>-1178947.2195982635</v>
      </c>
      <c r="BX14" s="199">
        <f t="shared" si="288"/>
        <v>-21738131.672210276</v>
      </c>
      <c r="BY14" s="199">
        <f t="shared" si="288"/>
        <v>-21848081.672210276</v>
      </c>
      <c r="BZ14" s="199">
        <f t="shared" si="288"/>
        <v>-6848081.6722102761</v>
      </c>
      <c r="CA14" s="199">
        <f t="shared" si="288"/>
        <v>-8677265.8722102791</v>
      </c>
      <c r="CB14" s="199">
        <f t="shared" si="288"/>
        <v>-2083512.6182102859</v>
      </c>
      <c r="CC14" s="199">
        <f t="shared" si="288"/>
        <v>-25407060.578665197</v>
      </c>
      <c r="CD14" s="199">
        <f t="shared" si="288"/>
        <v>-25826759.978665203</v>
      </c>
      <c r="CE14" s="199">
        <f t="shared" si="288"/>
        <v>-25826759.978665203</v>
      </c>
      <c r="CF14" s="199">
        <f t="shared" si="288"/>
        <v>-25826759.978665203</v>
      </c>
      <c r="CG14" s="199">
        <f t="shared" si="288"/>
        <v>-25331843.323665202</v>
      </c>
      <c r="CH14" s="199">
        <f t="shared" si="288"/>
        <v>-25821542.723665208</v>
      </c>
      <c r="CI14" s="199">
        <f t="shared" si="288"/>
        <v>-19371542.723665208</v>
      </c>
      <c r="CJ14" s="199">
        <f t="shared" si="288"/>
        <v>-20049184.723665208</v>
      </c>
      <c r="CK14" s="199">
        <f t="shared" si="288"/>
        <v>-12575442.323665202</v>
      </c>
      <c r="CL14" s="199">
        <f t="shared" si="288"/>
        <v>-23612752.662977964</v>
      </c>
      <c r="CM14" s="199">
        <f t="shared" si="288"/>
        <v>-18726702.662977964</v>
      </c>
      <c r="CN14" s="199">
        <f t="shared" si="288"/>
        <v>-18801702.662977964</v>
      </c>
      <c r="CO14" s="199">
        <f t="shared" si="288"/>
        <v>-7301702.6629779637</v>
      </c>
      <c r="CP14" s="199">
        <f t="shared" si="288"/>
        <v>-8548363.5879779756</v>
      </c>
      <c r="CQ14" s="199">
        <f t="shared" si="288"/>
        <v>-7163363.5879779756</v>
      </c>
      <c r="CR14" s="199">
        <f t="shared" si="288"/>
        <v>-7163363.5879779756</v>
      </c>
      <c r="CS14" s="199">
        <f t="shared" si="288"/>
        <v>-7163363.5879779756</v>
      </c>
      <c r="CT14" s="199">
        <f t="shared" si="288"/>
        <v>-7220863.5879779756</v>
      </c>
      <c r="CU14" s="199">
        <f t="shared" si="288"/>
        <v>-7220863.5879779756</v>
      </c>
      <c r="CV14" s="199">
        <f t="shared" si="288"/>
        <v>-7220863.5879779756</v>
      </c>
      <c r="CW14" s="199">
        <f t="shared" si="288"/>
        <v>-7220863.5879779756</v>
      </c>
      <c r="CX14" s="199">
        <f t="shared" si="288"/>
        <v>-7220863.5879779756</v>
      </c>
      <c r="CY14" s="199">
        <f t="shared" si="288"/>
        <v>-7220863.5879779756</v>
      </c>
      <c r="CZ14" s="199">
        <f t="shared" si="288"/>
        <v>-7220863.5879779756</v>
      </c>
      <c r="DA14" s="199">
        <f t="shared" si="288"/>
        <v>-7220863.5879779756</v>
      </c>
      <c r="DB14" s="199">
        <f t="shared" si="288"/>
        <v>-7220863.5879779756</v>
      </c>
      <c r="DC14" s="199">
        <f t="shared" ref="DC14:DD14" si="289">DC10-DC12</f>
        <v>-7220863.5879779756</v>
      </c>
      <c r="DD14" s="199">
        <f t="shared" si="289"/>
        <v>-7220863.5879779756</v>
      </c>
      <c r="DE14" s="199">
        <f t="shared" ref="DE14:EE14" si="290">DE10-DE12</f>
        <v>-7220863.5879779756</v>
      </c>
      <c r="DF14" s="199">
        <f t="shared" si="290"/>
        <v>-7220863.5879779756</v>
      </c>
      <c r="DG14" s="199">
        <f t="shared" si="290"/>
        <v>-7220863.5879779756</v>
      </c>
      <c r="DH14" s="199">
        <f t="shared" si="290"/>
        <v>-7220863.5879779756</v>
      </c>
      <c r="DI14" s="199">
        <f t="shared" si="290"/>
        <v>-7220863.5879779756</v>
      </c>
      <c r="DJ14" s="199">
        <f t="shared" si="290"/>
        <v>-7220863.5879779756</v>
      </c>
      <c r="DK14" s="199">
        <f t="shared" si="290"/>
        <v>-7220863.5879779756</v>
      </c>
      <c r="DL14" s="199">
        <f t="shared" si="290"/>
        <v>-7220863.5879779756</v>
      </c>
      <c r="DM14" s="199">
        <f t="shared" si="290"/>
        <v>-7220863.5879779756</v>
      </c>
      <c r="DN14" s="199">
        <f t="shared" si="290"/>
        <v>-7220863.5879779756</v>
      </c>
      <c r="DO14" s="199">
        <f t="shared" si="290"/>
        <v>-7220863.5879779756</v>
      </c>
      <c r="DP14" s="199">
        <f t="shared" si="290"/>
        <v>-7220863.5879779756</v>
      </c>
      <c r="DQ14" s="199">
        <f t="shared" si="290"/>
        <v>-7220863.5879779756</v>
      </c>
      <c r="DR14" s="199">
        <f t="shared" si="290"/>
        <v>-7220863.5879779756</v>
      </c>
      <c r="DS14" s="199">
        <f t="shared" si="290"/>
        <v>-7220863.5879779756</v>
      </c>
      <c r="DT14" s="199">
        <f t="shared" si="290"/>
        <v>-7220863.5879779756</v>
      </c>
      <c r="DU14" s="199">
        <f t="shared" si="290"/>
        <v>-7220863.5879779756</v>
      </c>
      <c r="DV14" s="199">
        <f t="shared" si="290"/>
        <v>-7220863.5879779756</v>
      </c>
      <c r="DW14" s="199">
        <f t="shared" si="290"/>
        <v>-7220863.5879779756</v>
      </c>
      <c r="DX14" s="199">
        <f t="shared" si="290"/>
        <v>-7220863.5879779756</v>
      </c>
      <c r="DY14" s="199">
        <f t="shared" si="290"/>
        <v>-7220863.5879779756</v>
      </c>
      <c r="DZ14" s="199">
        <f t="shared" si="290"/>
        <v>-7220863.5879779756</v>
      </c>
      <c r="EA14" s="199">
        <f t="shared" si="290"/>
        <v>-7220863.5879779756</v>
      </c>
      <c r="EB14" s="199">
        <f t="shared" si="290"/>
        <v>-7220863.5879779756</v>
      </c>
      <c r="EC14" s="199">
        <f t="shared" si="290"/>
        <v>-7220863.5879779756</v>
      </c>
      <c r="ED14" s="199">
        <f t="shared" si="290"/>
        <v>-7220863.5879779756</v>
      </c>
      <c r="EE14" s="199">
        <f t="shared" si="290"/>
        <v>-7220863.5879779756</v>
      </c>
      <c r="EF14" s="199">
        <f t="shared" ref="EF14:FD14" si="291">EF10-EF12</f>
        <v>-7220863.5879779756</v>
      </c>
      <c r="EG14" s="199">
        <f t="shared" si="291"/>
        <v>-7220863.5879779756</v>
      </c>
      <c r="EH14" s="199">
        <f t="shared" si="291"/>
        <v>-7220863.5879779756</v>
      </c>
      <c r="EI14" s="199">
        <f t="shared" si="291"/>
        <v>-7220863.5879779756</v>
      </c>
      <c r="EJ14" s="199">
        <f t="shared" si="291"/>
        <v>-7220863.5879779756</v>
      </c>
      <c r="EK14" s="199">
        <f t="shared" si="291"/>
        <v>-7220863.5879779756</v>
      </c>
      <c r="EL14" s="199">
        <f t="shared" si="291"/>
        <v>-8177424.5129779875</v>
      </c>
      <c r="EM14" s="199">
        <f t="shared" si="291"/>
        <v>-8177424.5129779875</v>
      </c>
      <c r="EN14" s="199">
        <f t="shared" si="291"/>
        <v>-8177424.5129779875</v>
      </c>
      <c r="EO14" s="199">
        <f t="shared" si="291"/>
        <v>-8177424.5129779875</v>
      </c>
      <c r="EP14" s="199">
        <f t="shared" si="291"/>
        <v>-8177424.5129779875</v>
      </c>
      <c r="EQ14" s="199">
        <f t="shared" si="291"/>
        <v>-95133.76020899415</v>
      </c>
      <c r="ER14" s="199">
        <f t="shared" si="291"/>
        <v>-95133.76020899415</v>
      </c>
      <c r="ES14" s="199">
        <f t="shared" si="291"/>
        <v>-95133.76020899415</v>
      </c>
      <c r="ET14" s="199">
        <f t="shared" si="291"/>
        <v>-95133.76020899415</v>
      </c>
      <c r="EU14" s="199">
        <f t="shared" si="291"/>
        <v>-95133.76020899415</v>
      </c>
      <c r="EV14" s="199">
        <f t="shared" si="291"/>
        <v>-95133.76020899415</v>
      </c>
      <c r="EW14" s="199">
        <f t="shared" si="291"/>
        <v>-95133.76020899415</v>
      </c>
      <c r="EX14" s="199">
        <f t="shared" si="291"/>
        <v>-95133.76020899415</v>
      </c>
      <c r="EY14" s="199">
        <f t="shared" si="291"/>
        <v>-95133.76020899415</v>
      </c>
      <c r="EZ14" s="199">
        <f t="shared" si="291"/>
        <v>-95133.76020899415</v>
      </c>
      <c r="FA14" s="199">
        <f t="shared" si="291"/>
        <v>-95133.76020899415</v>
      </c>
      <c r="FB14" s="199">
        <f t="shared" si="291"/>
        <v>-95133.76020899415</v>
      </c>
      <c r="FC14" s="199">
        <f t="shared" si="291"/>
        <v>-95133.76020899415</v>
      </c>
      <c r="FD14" s="199">
        <f t="shared" si="291"/>
        <v>-95133.76020899415</v>
      </c>
    </row>
    <row r="15" spans="1:638" s="183" customFormat="1" ht="15" customHeight="1"/>
    <row r="16" spans="1:638" s="183" customFormat="1" ht="15" customHeight="1">
      <c r="C16" s="185" t="s">
        <v>957</v>
      </c>
      <c r="D16" s="185" t="s">
        <v>957</v>
      </c>
    </row>
    <row r="17" spans="1:160" ht="15" customHeight="1">
      <c r="A17" s="1017"/>
      <c r="B17" s="187" t="s">
        <v>1311</v>
      </c>
      <c r="C17" s="365">
        <f>C3-D17</f>
        <v>953995.03630131483</v>
      </c>
      <c r="D17" s="188">
        <f>SUM(F17:DD17)</f>
        <v>143528295.71646768</v>
      </c>
      <c r="E17" s="198"/>
      <c r="F17" s="206">
        <f>SUMIFS('Expenditure Breakdown'!$U$6:$U$402, 'Expenditure Breakdown'!$T$6:$T$402, "&gt;="&amp;F1,'Expenditure Breakdown'!$T$6:$T$402, "&lt;"&amp;G1)</f>
        <v>0</v>
      </c>
      <c r="G17" s="206">
        <f>SUMIFS('Expenditure Breakdown'!$U$6:$U$402, 'Expenditure Breakdown'!$T$6:$T$402, "&gt;="&amp;G1,'Expenditure Breakdown'!$T$6:$T$402, "&lt;"&amp;H1)</f>
        <v>0</v>
      </c>
      <c r="H17" s="206">
        <f>SUMIFS('Expenditure Breakdown'!$U$6:$U$402, 'Expenditure Breakdown'!$T$6:$T$402, "&gt;="&amp;H1,'Expenditure Breakdown'!$T$6:$T$402, "&lt;"&amp;I1)</f>
        <v>0</v>
      </c>
      <c r="I17" s="206">
        <f>SUMIFS('Expenditure Breakdown'!$U$6:$U$402, 'Expenditure Breakdown'!$T$6:$T$402, "&gt;="&amp;I1,'Expenditure Breakdown'!$T$6:$T$402, "&lt;"&amp;J1)</f>
        <v>0</v>
      </c>
      <c r="J17" s="206">
        <f>SUMIFS('Expenditure Breakdown'!$U$6:$U$402, 'Expenditure Breakdown'!$T$6:$T$402, "&gt;="&amp;J1,'Expenditure Breakdown'!$T$6:$T$402, "&lt;"&amp;K1)</f>
        <v>0</v>
      </c>
      <c r="K17" s="206">
        <f>SUMIFS('Expenditure Breakdown'!$U$6:$U$402, 'Expenditure Breakdown'!$T$6:$T$402, "&gt;="&amp;K1,'Expenditure Breakdown'!$T$6:$T$402, "&lt;"&amp;L1)</f>
        <v>0</v>
      </c>
      <c r="L17" s="206">
        <f>SUMIFS('Expenditure Breakdown'!$U$6:$U$402, 'Expenditure Breakdown'!$T$6:$T$402, "&gt;="&amp;L1,'Expenditure Breakdown'!$T$6:$T$402, "&lt;"&amp;M1)</f>
        <v>0</v>
      </c>
      <c r="M17" s="206">
        <f>SUMIFS('Expenditure Breakdown'!$U$6:$U$402, 'Expenditure Breakdown'!$T$6:$T$402, "&gt;="&amp;M1,'Expenditure Breakdown'!$T$6:$T$402, "&lt;"&amp;N1)</f>
        <v>0</v>
      </c>
      <c r="N17" s="206">
        <f>SUMIFS('Expenditure Breakdown'!$U$6:$U$402, 'Expenditure Breakdown'!$T$6:$T$402, "&gt;="&amp;N1,'Expenditure Breakdown'!$T$6:$T$402, "&lt;"&amp;O1)</f>
        <v>0</v>
      </c>
      <c r="O17" s="206">
        <f>SUMIFS('Expenditure Breakdown'!$U$6:$U$402, 'Expenditure Breakdown'!$T$6:$T$402, "&gt;="&amp;O1,'Expenditure Breakdown'!$T$6:$T$402, "&lt;"&amp;P1)</f>
        <v>0</v>
      </c>
      <c r="P17" s="206">
        <f>SUMIFS('Expenditure Breakdown'!$U$6:$U$402, 'Expenditure Breakdown'!$T$6:$T$402, "&gt;="&amp;P1,'Expenditure Breakdown'!$T$6:$T$402, "&lt;"&amp;Q1)</f>
        <v>0</v>
      </c>
      <c r="Q17" s="206">
        <f>SUMIFS('Expenditure Breakdown'!$U$6:$U$402, 'Expenditure Breakdown'!$T$6:$T$402, "&gt;="&amp;Q1,'Expenditure Breakdown'!$T$6:$T$402, "&lt;"&amp;R1)</f>
        <v>0</v>
      </c>
      <c r="R17" s="206">
        <f>SUMIFS('Expenditure Breakdown'!$U$6:$U$402, 'Expenditure Breakdown'!$T$6:$T$402, "&gt;="&amp;R1,'Expenditure Breakdown'!$T$6:$T$402, "&lt;"&amp;S1)</f>
        <v>0</v>
      </c>
      <c r="S17" s="206">
        <f>SUMIFS('Expenditure Breakdown'!$U$6:$U$402, 'Expenditure Breakdown'!$T$6:$T$402, "&gt;="&amp;S1,'Expenditure Breakdown'!$T$6:$T$402, "&lt;"&amp;T1)</f>
        <v>0</v>
      </c>
      <c r="T17" s="206">
        <f>SUMIFS('Expenditure Breakdown'!$U$6:$U$402, 'Expenditure Breakdown'!$T$6:$T$402, "&gt;="&amp;T1,'Expenditure Breakdown'!$T$6:$T$402, "&lt;"&amp;U1)</f>
        <v>0</v>
      </c>
      <c r="U17" s="206">
        <f>SUMIFS('Expenditure Breakdown'!$U$6:$U$402, 'Expenditure Breakdown'!$T$6:$T$402, "&gt;="&amp;U1,'Expenditure Breakdown'!$T$6:$T$402, "&lt;"&amp;V1)</f>
        <v>0</v>
      </c>
      <c r="V17" s="206">
        <f>SUMIFS('Expenditure Breakdown'!$U$6:$U$402, 'Expenditure Breakdown'!$T$6:$T$402, "&gt;="&amp;V1,'Expenditure Breakdown'!$T$6:$T$402, "&lt;"&amp;W1)</f>
        <v>0</v>
      </c>
      <c r="W17" s="206">
        <f>SUMIFS('Expenditure Breakdown'!$U$6:$U$402, 'Expenditure Breakdown'!$T$6:$T$402, "&gt;="&amp;W1,'Expenditure Breakdown'!$T$6:$T$402, "&lt;"&amp;X1)</f>
        <v>0</v>
      </c>
      <c r="X17" s="206">
        <f>SUMIFS('Expenditure Breakdown'!$U$6:$U$402, 'Expenditure Breakdown'!$T$6:$T$402, "&gt;="&amp;X1,'Expenditure Breakdown'!$T$6:$T$402, "&lt;"&amp;Y1)</f>
        <v>0</v>
      </c>
      <c r="Y17" s="206">
        <f>SUMIFS('Expenditure Breakdown'!$U$6:$U$402, 'Expenditure Breakdown'!$T$6:$T$402, "&gt;="&amp;Y1,'Expenditure Breakdown'!$T$6:$T$402, "&lt;"&amp;Z1)</f>
        <v>0</v>
      </c>
      <c r="Z17" s="206">
        <f>SUMIFS('Expenditure Breakdown'!$U$6:$U$402, 'Expenditure Breakdown'!$T$6:$T$402, "&gt;="&amp;Z1,'Expenditure Breakdown'!$T$6:$T$402, "&lt;"&amp;AA1)</f>
        <v>0</v>
      </c>
      <c r="AA17" s="206">
        <f>SUMIFS('Expenditure Breakdown'!$U$6:$U$402, 'Expenditure Breakdown'!$T$6:$T$402, "&gt;="&amp;AA1,'Expenditure Breakdown'!$T$6:$T$402, "&lt;"&amp;AB1)</f>
        <v>0</v>
      </c>
      <c r="AB17" s="206">
        <f>SUMIFS('Expenditure Breakdown'!$U$6:$U$402, 'Expenditure Breakdown'!$T$6:$T$402, "&gt;="&amp;AB1,'Expenditure Breakdown'!$T$6:$T$402, "&lt;"&amp;AC1)</f>
        <v>0</v>
      </c>
      <c r="AC17" s="206">
        <f>SUMIFS('Expenditure Breakdown'!$U$6:$U$402, 'Expenditure Breakdown'!$T$6:$T$402, "&gt;="&amp;AC1,'Expenditure Breakdown'!$T$6:$T$402, "&lt;"&amp;AD1)</f>
        <v>0</v>
      </c>
      <c r="AD17" s="206">
        <f>SUMIFS('Expenditure Breakdown'!$U$6:$U$402, 'Expenditure Breakdown'!$T$6:$T$402, "&gt;="&amp;AD1,'Expenditure Breakdown'!$T$6:$T$402, "&lt;"&amp;AE1)</f>
        <v>0</v>
      </c>
      <c r="AE17" s="206">
        <f>SUMIFS('Expenditure Breakdown'!$U$6:$U$402, 'Expenditure Breakdown'!$T$6:$T$402, "&gt;="&amp;AE1,'Expenditure Breakdown'!$T$6:$T$402, "&lt;"&amp;AF1)</f>
        <v>0</v>
      </c>
      <c r="AF17" s="206">
        <f>SUMIFS('Expenditure Breakdown'!$U$6:$U$402, 'Expenditure Breakdown'!$T$6:$T$402, "&gt;="&amp;AF1,'Expenditure Breakdown'!$T$6:$T$402, "&lt;"&amp;AG1)</f>
        <v>0</v>
      </c>
      <c r="AG17" s="206">
        <f>SUMIFS('Expenditure Breakdown'!$U$6:$U$402, 'Expenditure Breakdown'!$T$6:$T$402, "&gt;="&amp;AG1,'Expenditure Breakdown'!$T$6:$T$402, "&lt;"&amp;AH1)</f>
        <v>0</v>
      </c>
      <c r="AH17" s="206">
        <f>SUMIFS('Expenditure Breakdown'!$U$6:$U$402, 'Expenditure Breakdown'!$T$6:$T$402, "&gt;="&amp;AH1,'Expenditure Breakdown'!$T$6:$T$402, "&lt;"&amp;AI1)</f>
        <v>0</v>
      </c>
      <c r="AI17" s="206">
        <f>SUMIFS('Expenditure Breakdown'!$U$6:$U$402, 'Expenditure Breakdown'!$T$6:$T$402, "&gt;="&amp;AI1,'Expenditure Breakdown'!$T$6:$T$402, "&lt;"&amp;AJ1)</f>
        <v>0</v>
      </c>
      <c r="AJ17" s="206">
        <f>SUMIFS('Expenditure Breakdown'!$U$6:$U$402, 'Expenditure Breakdown'!$T$6:$T$402, "&gt;="&amp;AJ1,'Expenditure Breakdown'!$T$6:$T$402, "&lt;"&amp;AK1)</f>
        <v>0</v>
      </c>
      <c r="AK17" s="206">
        <f>SUMIFS('Expenditure Breakdown'!$U$6:$U$402, 'Expenditure Breakdown'!$T$6:$T$402, "&gt;="&amp;AK1,'Expenditure Breakdown'!$T$6:$T$402, "&lt;"&amp;AL1)</f>
        <v>0</v>
      </c>
      <c r="AL17" s="206">
        <f>SUMIFS('Expenditure Breakdown'!$U$6:$U$402, 'Expenditure Breakdown'!$T$6:$T$402, "&gt;="&amp;AL1,'Expenditure Breakdown'!$T$6:$T$402, "&lt;"&amp;AM1)</f>
        <v>0</v>
      </c>
      <c r="AM17" s="206">
        <f>SUMIFS('Expenditure Breakdown'!$U$6:$U$402, 'Expenditure Breakdown'!$T$6:$T$402, "&gt;="&amp;AM1,'Expenditure Breakdown'!$T$6:$T$402, "&lt;"&amp;AN1)</f>
        <v>0</v>
      </c>
      <c r="AN17" s="206">
        <f>SUMIFS('Expenditure Breakdown'!$U$6:$U$402, 'Expenditure Breakdown'!$T$6:$T$402, "&gt;="&amp;AN1,'Expenditure Breakdown'!$T$6:$T$402, "&lt;"&amp;AO1)</f>
        <v>0</v>
      </c>
      <c r="AO17" s="206">
        <f>SUMIFS('Expenditure Breakdown'!$U$6:$U$402, 'Expenditure Breakdown'!$T$6:$T$402, "&gt;="&amp;AO1,'Expenditure Breakdown'!$T$6:$T$402, "&lt;"&amp;AP1)</f>
        <v>0</v>
      </c>
      <c r="AP17" s="206">
        <f>SUMIFS('Expenditure Breakdown'!$U$6:$U$402, 'Expenditure Breakdown'!$T$6:$T$402, "&gt;="&amp;AP1,'Expenditure Breakdown'!$T$6:$T$402, "&lt;"&amp;AQ1)</f>
        <v>0</v>
      </c>
      <c r="AQ17" s="206">
        <f>SUMIFS('Expenditure Breakdown'!$U$6:$U$402, 'Expenditure Breakdown'!$T$6:$T$402, "&gt;="&amp;AQ1,'Expenditure Breakdown'!$T$6:$T$402, "&lt;"&amp;AR1)</f>
        <v>0</v>
      </c>
      <c r="AR17" s="206">
        <f>SUMIFS('Expenditure Breakdown'!$U$6:$U$402, 'Expenditure Breakdown'!$T$6:$T$402, "&gt;="&amp;AR1,'Expenditure Breakdown'!$T$6:$T$402, "&lt;"&amp;AS1)</f>
        <v>0</v>
      </c>
      <c r="AS17" s="206">
        <f>SUMIFS('Expenditure Breakdown'!$U$6:$U$402, 'Expenditure Breakdown'!$T$6:$T$402, "&gt;="&amp;AS1,'Expenditure Breakdown'!$T$6:$T$402, "&lt;"&amp;AT1)</f>
        <v>0</v>
      </c>
      <c r="AT17" s="206">
        <f>SUMIFS('Expenditure Breakdown'!$U$6:$U$402, 'Expenditure Breakdown'!$T$6:$T$402, "&gt;="&amp;AT1,'Expenditure Breakdown'!$T$6:$T$402, "&lt;"&amp;AU1)</f>
        <v>0</v>
      </c>
      <c r="AU17" s="206">
        <f>SUMIFS('Expenditure Breakdown'!$U$6:$U$402, 'Expenditure Breakdown'!$T$6:$T$402, "&gt;="&amp;AU1,'Expenditure Breakdown'!$T$6:$T$402, "&lt;"&amp;AV1)</f>
        <v>0</v>
      </c>
      <c r="AV17" s="206">
        <f>SUMIFS('Expenditure Breakdown'!$U$6:$U$402, 'Expenditure Breakdown'!$T$6:$T$402, "&gt;="&amp;AV1,'Expenditure Breakdown'!$T$6:$T$402, "&lt;"&amp;AW1)</f>
        <v>0</v>
      </c>
      <c r="AW17" s="206">
        <f>SUMIFS('Expenditure Breakdown'!$U$6:$U$402, 'Expenditure Breakdown'!$T$6:$T$402, "&gt;="&amp;AW1,'Expenditure Breakdown'!$T$6:$T$402, "&lt;"&amp;AX1)</f>
        <v>0</v>
      </c>
      <c r="AX17" s="206">
        <f>SUMIFS('Expenditure Breakdown'!$U$6:$U$402, 'Expenditure Breakdown'!$T$6:$T$402, "&gt;="&amp;AX1,'Expenditure Breakdown'!$T$6:$T$402, "&lt;"&amp;AY1)</f>
        <v>0</v>
      </c>
      <c r="AY17" s="206">
        <f>SUMIFS('Expenditure Breakdown'!$U$6:$U$402, 'Expenditure Breakdown'!$T$6:$T$402, "&gt;="&amp;AY1,'Expenditure Breakdown'!$T$6:$T$402, "&lt;"&amp;AZ1)</f>
        <v>0</v>
      </c>
      <c r="AZ17" s="206">
        <f>SUMIFS('Expenditure Breakdown'!$U$6:$U$402, 'Expenditure Breakdown'!$T$6:$T$402, "&gt;="&amp;AZ1,'Expenditure Breakdown'!$T$6:$T$402, "&lt;"&amp;BA1)</f>
        <v>0</v>
      </c>
      <c r="BA17" s="206">
        <f>SUMIFS('Expenditure Breakdown'!$U$6:$U$402, 'Expenditure Breakdown'!$T$6:$T$402, "&gt;="&amp;BA1,'Expenditure Breakdown'!$T$6:$T$402, "&lt;"&amp;BB1)</f>
        <v>0</v>
      </c>
      <c r="BB17" s="206">
        <f>SUMIFS('Expenditure Breakdown'!$U$6:$U$402, 'Expenditure Breakdown'!$T$6:$T$402, "&gt;="&amp;BB1,'Expenditure Breakdown'!$T$6:$T$402, "&lt;"&amp;BC1)</f>
        <v>0</v>
      </c>
      <c r="BC17" s="206">
        <f>SUMIFS('Expenditure Breakdown'!$U$6:$U$402, 'Expenditure Breakdown'!$T$6:$T$402, "&gt;="&amp;BC1,'Expenditure Breakdown'!$T$6:$T$402, "&lt;"&amp;BD1)</f>
        <v>0</v>
      </c>
      <c r="BD17" s="206">
        <f>SUMIFS('Expenditure Breakdown'!$U$6:$U$402, 'Expenditure Breakdown'!$T$6:$T$402, "&gt;="&amp;BD1,'Expenditure Breakdown'!$T$6:$T$402, "&lt;"&amp;BE1)</f>
        <v>0</v>
      </c>
      <c r="BE17" s="206">
        <f>SUMIFS('Expenditure Breakdown'!$U$6:$U$402, 'Expenditure Breakdown'!$T$6:$T$402, "&gt;="&amp;BE1,'Expenditure Breakdown'!$T$6:$T$402, "&lt;"&amp;BF1)</f>
        <v>0</v>
      </c>
      <c r="BF17" s="206">
        <f>SUMIFS('Expenditure Breakdown'!$U$6:$U$402, 'Expenditure Breakdown'!$T$6:$T$402, "&gt;="&amp;BF1,'Expenditure Breakdown'!$T$6:$T$402, "&lt;"&amp;BG1)</f>
        <v>0</v>
      </c>
      <c r="BG17" s="206">
        <f>SUMIFS('Expenditure Breakdown'!$U$6:$U$402, 'Expenditure Breakdown'!$T$6:$T$402, "&gt;="&amp;BG1,'Expenditure Breakdown'!$T$6:$T$402, "&lt;"&amp;BH1)</f>
        <v>0</v>
      </c>
      <c r="BH17" s="206">
        <f>SUMIFS('Expenditure Breakdown'!$U$6:$U$402, 'Expenditure Breakdown'!$T$6:$T$402, "&gt;="&amp;BH1,'Expenditure Breakdown'!$T$6:$T$402, "&lt;"&amp;BI1)</f>
        <v>0</v>
      </c>
      <c r="BI17" s="206">
        <f>SUMIFS('Expenditure Breakdown'!$U$6:$U$402, 'Expenditure Breakdown'!$T$6:$T$402, "&gt;="&amp;BI1,'Expenditure Breakdown'!$T$6:$T$402, "&lt;"&amp;BJ1)</f>
        <v>0</v>
      </c>
      <c r="BJ17" s="206">
        <f>SUMIFS('Expenditure Breakdown'!$U$6:$U$402, 'Expenditure Breakdown'!$T$6:$T$402, "&gt;="&amp;BJ1,'Expenditure Breakdown'!$T$6:$T$402, "&lt;"&amp;BK1)</f>
        <v>0</v>
      </c>
      <c r="BK17" s="206">
        <f>SUMIFS('Expenditure Breakdown'!$U$6:$U$402, 'Expenditure Breakdown'!$T$6:$T$402, "&gt;="&amp;BK1,'Expenditure Breakdown'!$T$6:$T$402, "&lt;"&amp;BL1)</f>
        <v>17898373.988438204</v>
      </c>
      <c r="BL17" s="206">
        <f>SUMIFS('Expenditure Breakdown'!$U$6:$U$402, 'Expenditure Breakdown'!$T$6:$T$402, "&gt;="&amp;BL1,'Expenditure Breakdown'!$T$6:$T$402, "&lt;"&amp;BM1)</f>
        <v>0</v>
      </c>
      <c r="BM17" s="206">
        <f>SUMIFS('Expenditure Breakdown'!$U$6:$U$402, 'Expenditure Breakdown'!$T$6:$T$402, "&gt;="&amp;BM1,'Expenditure Breakdown'!$T$6:$T$402, "&lt;"&amp;BN1)</f>
        <v>0</v>
      </c>
      <c r="BN17" s="206">
        <f>SUMIFS('Expenditure Breakdown'!$U$6:$U$402, 'Expenditure Breakdown'!$T$6:$T$402, "&gt;="&amp;BN1,'Expenditure Breakdown'!$T$6:$T$402, "&lt;"&amp;BO1)</f>
        <v>0</v>
      </c>
      <c r="BO17" s="206">
        <f>SUMIFS('Expenditure Breakdown'!$U$6:$U$402, 'Expenditure Breakdown'!$T$6:$T$402, "&gt;="&amp;BO1,'Expenditure Breakdown'!$T$6:$T$402, "&lt;"&amp;BP1)</f>
        <v>0</v>
      </c>
      <c r="BP17" s="206">
        <f>SUMIFS('Expenditure Breakdown'!$U$6:$U$402, 'Expenditure Breakdown'!$T$6:$T$402, "&gt;="&amp;BP1,'Expenditure Breakdown'!$T$6:$T$402, "&lt;"&amp;BQ1)</f>
        <v>5666672.2744236356</v>
      </c>
      <c r="BQ17" s="206">
        <f>SUMIFS('Expenditure Breakdown'!$U$6:$U$402, 'Expenditure Breakdown'!$T$6:$T$402, "&gt;="&amp;BQ1,'Expenditure Breakdown'!$T$6:$T$402, "&lt;"&amp;BR1)</f>
        <v>0</v>
      </c>
      <c r="BR17" s="206">
        <f>SUMIFS('Expenditure Breakdown'!$U$6:$U$402, 'Expenditure Breakdown'!$T$6:$T$402, "&gt;="&amp;BR1,'Expenditure Breakdown'!$T$6:$T$402, "&lt;"&amp;BS1)</f>
        <v>0</v>
      </c>
      <c r="BS17" s="206">
        <f>SUMIFS('Expenditure Breakdown'!$U$6:$U$402, 'Expenditure Breakdown'!$T$6:$T$402, "&gt;="&amp;BS1,'Expenditure Breakdown'!$T$6:$T$402, "&lt;"&amp;BT1)</f>
        <v>0</v>
      </c>
      <c r="BT17" s="206">
        <f>SUMIFS('Expenditure Breakdown'!$U$6:$U$402, 'Expenditure Breakdown'!$T$6:$T$402, "&gt;="&amp;BT1,'Expenditure Breakdown'!$T$6:$T$402, "&lt;"&amp;BU1)</f>
        <v>54389177.325853758</v>
      </c>
      <c r="BU17" s="206">
        <f>SUMIFS('Expenditure Breakdown'!$U$6:$U$402, 'Expenditure Breakdown'!$T$6:$T$402, "&gt;="&amp;BU1,'Expenditure Breakdown'!$T$6:$T$402, "&lt;"&amp;BV1)</f>
        <v>0</v>
      </c>
      <c r="BV17" s="206">
        <f>SUMIFS('Expenditure Breakdown'!$U$6:$U$402, 'Expenditure Breakdown'!$T$6:$T$402, "&gt;="&amp;BV1,'Expenditure Breakdown'!$T$6:$T$402, "&lt;"&amp;BW1)</f>
        <v>0</v>
      </c>
      <c r="BW17" s="206">
        <f>SUMIFS('Expenditure Breakdown'!$U$6:$U$402, 'Expenditure Breakdown'!$T$6:$T$402, "&gt;="&amp;BW1,'Expenditure Breakdown'!$T$6:$T$402, "&lt;"&amp;BX1)</f>
        <v>0</v>
      </c>
      <c r="BX17" s="206">
        <f>SUMIFS('Expenditure Breakdown'!$U$6:$U$402, 'Expenditure Breakdown'!$T$6:$T$402, "&gt;="&amp;BX1,'Expenditure Breakdown'!$T$6:$T$402, "&lt;"&amp;BY1)</f>
        <v>34427468.152780019</v>
      </c>
      <c r="BY17" s="206">
        <f>SUMIFS('Expenditure Breakdown'!$U$6:$U$402, 'Expenditure Breakdown'!$T$6:$T$402, "&gt;="&amp;BY1,'Expenditure Breakdown'!$T$6:$T$402, "&lt;"&amp;BZ1)</f>
        <v>0</v>
      </c>
      <c r="BZ17" s="206">
        <f>SUMIFS('Expenditure Breakdown'!$U$6:$U$402, 'Expenditure Breakdown'!$T$6:$T$402, "&gt;="&amp;BZ1,'Expenditure Breakdown'!$T$6:$T$402, "&lt;"&amp;CA1)</f>
        <v>0</v>
      </c>
      <c r="CA17" s="206">
        <f>SUMIFS('Expenditure Breakdown'!$U$6:$U$402, 'Expenditure Breakdown'!$T$6:$T$402, "&gt;="&amp;CA1,'Expenditure Breakdown'!$T$6:$T$402, "&lt;"&amp;CB1)</f>
        <v>0</v>
      </c>
      <c r="CB17" s="206">
        <f>SUMIFS('Expenditure Breakdown'!$U$6:$U$402, 'Expenditure Breakdown'!$T$6:$T$402, "&gt;="&amp;CB1,'Expenditure Breakdown'!$T$6:$T$402, "&lt;"&amp;CC1)</f>
        <v>0</v>
      </c>
      <c r="CC17" s="206">
        <f>SUMIFS('Expenditure Breakdown'!$U$6:$U$402, 'Expenditure Breakdown'!$T$6:$T$402, "&gt;="&amp;CC1,'Expenditure Breakdown'!$T$6:$T$402, "&lt;"&amp;CD1)</f>
        <v>13006260.97951401</v>
      </c>
      <c r="CD17" s="206">
        <f>SUMIFS('Expenditure Breakdown'!$U$6:$U$402, 'Expenditure Breakdown'!$T$6:$T$402, "&gt;="&amp;CD1,'Expenditure Breakdown'!$T$6:$T$402, "&lt;"&amp;CE1)</f>
        <v>0</v>
      </c>
      <c r="CE17" s="206">
        <f>SUMIFS('Expenditure Breakdown'!$U$6:$U$402, 'Expenditure Breakdown'!$T$6:$T$402, "&gt;="&amp;CE1,'Expenditure Breakdown'!$T$6:$T$402, "&lt;"&amp;CF1)</f>
        <v>0</v>
      </c>
      <c r="CF17" s="206">
        <f>SUMIFS('Expenditure Breakdown'!$U$6:$U$402, 'Expenditure Breakdown'!$T$6:$T$402, "&gt;="&amp;CF1,'Expenditure Breakdown'!$T$6:$T$402, "&lt;"&amp;CG1)</f>
        <v>0</v>
      </c>
      <c r="CG17" s="206">
        <f>SUMIFS('Expenditure Breakdown'!$U$6:$U$402, 'Expenditure Breakdown'!$T$6:$T$402, "&gt;="&amp;CG1,'Expenditure Breakdown'!$T$6:$T$402, "&lt;"&amp;CH1)</f>
        <v>7246221.631153374</v>
      </c>
      <c r="CH17" s="206">
        <f>SUMIFS('Expenditure Breakdown'!$U$6:$U$402, 'Expenditure Breakdown'!$T$6:$T$402, "&gt;="&amp;CH1,'Expenditure Breakdown'!$T$6:$T$402, "&lt;"&amp;CI1)</f>
        <v>0</v>
      </c>
      <c r="CI17" s="206">
        <f>SUMIFS('Expenditure Breakdown'!$U$6:$U$402, 'Expenditure Breakdown'!$T$6:$T$402, "&gt;="&amp;CI1,'Expenditure Breakdown'!$T$6:$T$402, "&lt;"&amp;CJ1)</f>
        <v>0</v>
      </c>
      <c r="CJ17" s="206">
        <f>SUMIFS('Expenditure Breakdown'!$U$6:$U$402, 'Expenditure Breakdown'!$T$6:$T$402, "&gt;="&amp;CJ1,'Expenditure Breakdown'!$T$6:$T$402, "&lt;"&amp;CK1)</f>
        <v>0</v>
      </c>
      <c r="CK17" s="206">
        <f>SUMIFS('Expenditure Breakdown'!$U$6:$U$402, 'Expenditure Breakdown'!$T$6:$T$402, "&gt;="&amp;CK1,'Expenditure Breakdown'!$T$6:$T$402, "&lt;"&amp;CL1)</f>
        <v>8027.3458226296798</v>
      </c>
      <c r="CL17" s="206">
        <f>SUMIFS('Expenditure Breakdown'!$U$6:$U$402, 'Expenditure Breakdown'!$T$6:$T$402, "&gt;="&amp;CL1,'Expenditure Breakdown'!$T$6:$T$402, "&lt;"&amp;CM1)</f>
        <v>10313245.66951118</v>
      </c>
      <c r="CM17" s="206">
        <f>SUMIFS('Expenditure Breakdown'!$U$6:$U$402, 'Expenditure Breakdown'!$T$6:$T$402, "&gt;="&amp;CM1,'Expenditure Breakdown'!$T$6:$T$402, "&lt;"&amp;CN1)</f>
        <v>0</v>
      </c>
      <c r="CN17" s="206">
        <f>SUMIFS('Expenditure Breakdown'!$U$6:$U$402, 'Expenditure Breakdown'!$T$6:$T$402, "&gt;="&amp;CN1,'Expenditure Breakdown'!$T$6:$T$402, "&lt;"&amp;CO1)</f>
        <v>0</v>
      </c>
      <c r="CO17" s="206">
        <f>SUMIFS('Expenditure Breakdown'!$U$6:$U$402, 'Expenditure Breakdown'!$T$6:$T$402, "&gt;="&amp;CO1,'Expenditure Breakdown'!$T$6:$T$402, "&lt;"&amp;CP1)</f>
        <v>0</v>
      </c>
      <c r="CP17" s="206">
        <f>SUMIFS('Expenditure Breakdown'!$U$6:$U$402, 'Expenditure Breakdown'!$T$6:$T$402, "&gt;="&amp;CP1,'Expenditure Breakdown'!$T$6:$T$402, "&lt;"&amp;CQ1)</f>
        <v>521446.03196122253</v>
      </c>
      <c r="CQ17" s="206">
        <f>SUMIFS('Expenditure Breakdown'!$U$6:$U$402, 'Expenditure Breakdown'!$T$6:$T$402, "&gt;="&amp;CQ1,'Expenditure Breakdown'!$T$6:$T$402, "&lt;"&amp;CR1)</f>
        <v>0</v>
      </c>
      <c r="CR17" s="206">
        <f>SUMIFS('Expenditure Breakdown'!$U$6:$U$402, 'Expenditure Breakdown'!$T$6:$T$402, "&gt;="&amp;CR1,'Expenditure Breakdown'!$T$6:$T$402, "&lt;"&amp;CS1)</f>
        <v>0</v>
      </c>
      <c r="CS17" s="206">
        <f>SUMIFS('Expenditure Breakdown'!$U$6:$U$402, 'Expenditure Breakdown'!$T$6:$T$402, "&gt;="&amp;CS1,'Expenditure Breakdown'!$T$6:$T$402, "&lt;"&amp;CT1)</f>
        <v>0</v>
      </c>
      <c r="CT17" s="206">
        <f>SUMIFS('Expenditure Breakdown'!$U$6:$U$402, 'Expenditure Breakdown'!$T$6:$T$402, "&gt;="&amp;CT1,'Expenditure Breakdown'!$T$6:$T$402, "&lt;"&amp;CU1)</f>
        <v>51402.317009653139</v>
      </c>
      <c r="CU17" s="206">
        <f>SUMIFS('Expenditure Breakdown'!$U$6:$U$402, 'Expenditure Breakdown'!$T$6:$T$402, "&gt;="&amp;CU1,'Expenditure Breakdown'!$T$6:$T$402, "&lt;"&amp;CV1)</f>
        <v>0</v>
      </c>
      <c r="CV17" s="206">
        <f>SUMIFS('Expenditure Breakdown'!$U$6:$U$402, 'Expenditure Breakdown'!$T$6:$T$402, "&gt;="&amp;CV1,'Expenditure Breakdown'!$T$6:$T$402, "&lt;"&amp;CW1)</f>
        <v>0</v>
      </c>
      <c r="CW17" s="206">
        <f>SUMIFS('Expenditure Breakdown'!$U$6:$U$402, 'Expenditure Breakdown'!$T$6:$T$402, "&gt;="&amp;CW1,'Expenditure Breakdown'!$T$6:$T$402, "&lt;"&amp;CX1)</f>
        <v>0</v>
      </c>
      <c r="CX17" s="206">
        <f>SUMIFS('Expenditure Breakdown'!$U$6:$U$402, 'Expenditure Breakdown'!$T$6:$T$402, "&gt;="&amp;CX1,'Expenditure Breakdown'!$T$6:$T$402, "&lt;"&amp;CY1)</f>
        <v>0</v>
      </c>
      <c r="CY17" s="206">
        <f>SUMIFS('Expenditure Breakdown'!$U$6:$U$402, 'Expenditure Breakdown'!$T$6:$T$402, "&gt;="&amp;CY1,'Expenditure Breakdown'!$T$6:$T$402, "&lt;"&amp;CZ1)</f>
        <v>0</v>
      </c>
      <c r="CZ17" s="206">
        <f>SUMIFS('Expenditure Breakdown'!$U$6:$U$402, 'Expenditure Breakdown'!$T$6:$T$402, "&gt;="&amp;CZ1,'Expenditure Breakdown'!$T$6:$T$402, "&lt;"&amp;DA1)</f>
        <v>0</v>
      </c>
      <c r="DA17" s="206">
        <f>SUMIFS('Expenditure Breakdown'!$U$6:$U$402, 'Expenditure Breakdown'!$T$6:$T$402, "&gt;="&amp;DA1,'Expenditure Breakdown'!$T$6:$T$402, "&lt;"&amp;DB1)</f>
        <v>0</v>
      </c>
      <c r="DB17" s="206">
        <f>SUMIFS('Expenditure Breakdown'!$U$6:$U$402, 'Expenditure Breakdown'!$T$6:$T$402, "&gt;="&amp;DB1,'Expenditure Breakdown'!$T$6:$T$402, "&lt;"&amp;DC1)</f>
        <v>0</v>
      </c>
      <c r="DC17" s="206">
        <f>SUMIFS('Expenditure Breakdown'!$U$6:$U$402, 'Expenditure Breakdown'!$T$6:$T$402, "&gt;="&amp;DC1,'Expenditure Breakdown'!$T$6:$T$402, "&lt;"&amp;DD1)</f>
        <v>0</v>
      </c>
      <c r="DD17" s="206">
        <f>SUMIFS('Expenditure Breakdown'!$U$6:$U$402, 'Expenditure Breakdown'!$T$6:$T$402, "&gt;="&amp;DD1,'Expenditure Breakdown'!$T$6:$T$402, "&lt;"&amp;FE1)</f>
        <v>0</v>
      </c>
      <c r="DE17" s="206">
        <f>SUMIFS('Expenditure Breakdown'!$U$6:$U$402, 'Expenditure Breakdown'!$T$6:$T$402, "&gt;="&amp;DE1,'Expenditure Breakdown'!$T$6:$T$402, "&lt;"&amp;FF1)</f>
        <v>0</v>
      </c>
      <c r="DF17" s="206">
        <f>SUMIFS('Expenditure Breakdown'!$U$6:$U$402, 'Expenditure Breakdown'!$T$6:$T$402, "&gt;="&amp;DF1,'Expenditure Breakdown'!$T$6:$T$402, "&lt;"&amp;FG1)</f>
        <v>0</v>
      </c>
      <c r="DG17" s="206">
        <f>SUMIFS('Expenditure Breakdown'!$U$6:$U$402, 'Expenditure Breakdown'!$T$6:$T$402, "&gt;="&amp;DG1,'Expenditure Breakdown'!$T$6:$T$402, "&lt;"&amp;FH1)</f>
        <v>0</v>
      </c>
      <c r="DH17" s="206">
        <f>SUMIFS('Expenditure Breakdown'!$U$6:$U$402, 'Expenditure Breakdown'!$T$6:$T$402, "&gt;="&amp;DH1,'Expenditure Breakdown'!$T$6:$T$402, "&lt;"&amp;FI1)</f>
        <v>0</v>
      </c>
      <c r="DI17" s="206">
        <f>SUMIFS('Expenditure Breakdown'!$U$6:$U$402, 'Expenditure Breakdown'!$T$6:$T$402, "&gt;="&amp;DI1,'Expenditure Breakdown'!$T$6:$T$402, "&lt;"&amp;FJ1)</f>
        <v>0</v>
      </c>
      <c r="DJ17" s="206">
        <f>SUMIFS('Expenditure Breakdown'!$U$6:$U$402, 'Expenditure Breakdown'!$T$6:$T$402, "&gt;="&amp;DJ1,'Expenditure Breakdown'!$T$6:$T$402, "&lt;"&amp;FK1)</f>
        <v>0</v>
      </c>
      <c r="DK17" s="206">
        <f>SUMIFS('Expenditure Breakdown'!$U$6:$U$402, 'Expenditure Breakdown'!$T$6:$T$402, "&gt;="&amp;DK1,'Expenditure Breakdown'!$T$6:$T$402, "&lt;"&amp;FL1)</f>
        <v>0</v>
      </c>
      <c r="DL17" s="206">
        <f>SUMIFS('Expenditure Breakdown'!$U$6:$U$402, 'Expenditure Breakdown'!$T$6:$T$402, "&gt;="&amp;DL1,'Expenditure Breakdown'!$T$6:$T$402, "&lt;"&amp;FM1)</f>
        <v>0</v>
      </c>
      <c r="DM17" s="206">
        <f>SUMIFS('Expenditure Breakdown'!$U$6:$U$402, 'Expenditure Breakdown'!$T$6:$T$402, "&gt;="&amp;DM1,'Expenditure Breakdown'!$T$6:$T$402, "&lt;"&amp;FN1)</f>
        <v>0</v>
      </c>
      <c r="DN17" s="206">
        <f>SUMIFS('Expenditure Breakdown'!$U$6:$U$402, 'Expenditure Breakdown'!$T$6:$T$402, "&gt;="&amp;DN1,'Expenditure Breakdown'!$T$6:$T$402, "&lt;"&amp;FO1)</f>
        <v>0</v>
      </c>
      <c r="DO17" s="206">
        <f>SUMIFS('Expenditure Breakdown'!$U$6:$U$402, 'Expenditure Breakdown'!$T$6:$T$402, "&gt;="&amp;DO1,'Expenditure Breakdown'!$T$6:$T$402, "&lt;"&amp;FP1)</f>
        <v>0</v>
      </c>
      <c r="DP17" s="206">
        <f>SUMIFS('Expenditure Breakdown'!$U$6:$U$402, 'Expenditure Breakdown'!$T$6:$T$402, "&gt;="&amp;DP1,'Expenditure Breakdown'!$T$6:$T$402, "&lt;"&amp;FQ1)</f>
        <v>0</v>
      </c>
      <c r="DQ17" s="206">
        <f>SUMIFS('Expenditure Breakdown'!$U$6:$U$402, 'Expenditure Breakdown'!$T$6:$T$402, "&gt;="&amp;DQ1,'Expenditure Breakdown'!$T$6:$T$402, "&lt;"&amp;FR1)</f>
        <v>0</v>
      </c>
      <c r="DR17" s="206">
        <f>SUMIFS('Expenditure Breakdown'!$U$6:$U$402, 'Expenditure Breakdown'!$T$6:$T$402, "&gt;="&amp;DR1,'Expenditure Breakdown'!$T$6:$T$402, "&lt;"&amp;FS1)</f>
        <v>0</v>
      </c>
      <c r="DS17" s="206">
        <f>SUMIFS('Expenditure Breakdown'!$U$6:$U$402, 'Expenditure Breakdown'!$T$6:$T$402, "&gt;="&amp;DS1,'Expenditure Breakdown'!$T$6:$T$402, "&lt;"&amp;FT1)</f>
        <v>0</v>
      </c>
      <c r="DT17" s="206">
        <f>SUMIFS('Expenditure Breakdown'!$U$6:$U$402, 'Expenditure Breakdown'!$T$6:$T$402, "&gt;="&amp;DT1,'Expenditure Breakdown'!$T$6:$T$402, "&lt;"&amp;FU1)</f>
        <v>0</v>
      </c>
      <c r="DU17" s="206">
        <f>SUMIFS('Expenditure Breakdown'!$U$6:$U$402, 'Expenditure Breakdown'!$T$6:$T$402, "&gt;="&amp;DU1,'Expenditure Breakdown'!$T$6:$T$402, "&lt;"&amp;FV1)</f>
        <v>0</v>
      </c>
      <c r="DV17" s="206">
        <f>SUMIFS('Expenditure Breakdown'!$U$6:$U$402, 'Expenditure Breakdown'!$T$6:$T$402, "&gt;="&amp;DV1,'Expenditure Breakdown'!$T$6:$T$402, "&lt;"&amp;FW1)</f>
        <v>0</v>
      </c>
      <c r="DW17" s="206">
        <f>SUMIFS('Expenditure Breakdown'!$U$6:$U$402, 'Expenditure Breakdown'!$T$6:$T$402, "&gt;="&amp;DW1,'Expenditure Breakdown'!$T$6:$T$402, "&lt;"&amp;FX1)</f>
        <v>0</v>
      </c>
      <c r="DX17" s="206">
        <f>SUMIFS('Expenditure Breakdown'!$U$6:$U$402, 'Expenditure Breakdown'!$T$6:$T$402, "&gt;="&amp;DX1,'Expenditure Breakdown'!$T$6:$T$402, "&lt;"&amp;FY1)</f>
        <v>0</v>
      </c>
      <c r="DY17" s="206">
        <f>SUMIFS('Expenditure Breakdown'!$U$6:$U$402, 'Expenditure Breakdown'!$T$6:$T$402, "&gt;="&amp;DY1,'Expenditure Breakdown'!$T$6:$T$402, "&lt;"&amp;FZ1)</f>
        <v>0</v>
      </c>
      <c r="DZ17" s="206">
        <f>SUMIFS('Expenditure Breakdown'!$U$6:$U$402, 'Expenditure Breakdown'!$T$6:$T$402, "&gt;="&amp;DZ1,'Expenditure Breakdown'!$T$6:$T$402, "&lt;"&amp;GA1)</f>
        <v>0</v>
      </c>
      <c r="EA17" s="206">
        <f>SUMIFS('Expenditure Breakdown'!$U$6:$U$402, 'Expenditure Breakdown'!$T$6:$T$402, "&gt;="&amp;EA1,'Expenditure Breakdown'!$T$6:$T$402, "&lt;"&amp;GB1)</f>
        <v>0</v>
      </c>
      <c r="EB17" s="206">
        <f>SUMIFS('Expenditure Breakdown'!$U$6:$U$402, 'Expenditure Breakdown'!$T$6:$T$402, "&gt;="&amp;EB1,'Expenditure Breakdown'!$T$6:$T$402, "&lt;"&amp;GC1)</f>
        <v>0</v>
      </c>
      <c r="EC17" s="206">
        <f>SUMIFS('Expenditure Breakdown'!$U$6:$U$402, 'Expenditure Breakdown'!$T$6:$T$402, "&gt;="&amp;EC1,'Expenditure Breakdown'!$T$6:$T$402, "&lt;"&amp;GD1)</f>
        <v>0</v>
      </c>
      <c r="ED17" s="206">
        <f>SUMIFS('Expenditure Breakdown'!$U$6:$U$402, 'Expenditure Breakdown'!$T$6:$T$402, "&gt;="&amp;ED1,'Expenditure Breakdown'!$T$6:$T$402, "&lt;"&amp;GE1)</f>
        <v>0</v>
      </c>
      <c r="EE17" s="206">
        <f>SUMIFS('Expenditure Breakdown'!$U$6:$U$402, 'Expenditure Breakdown'!$T$6:$T$402, "&gt;="&amp;EE1,'Expenditure Breakdown'!$T$6:$T$402, "&lt;"&amp;GF1)</f>
        <v>0</v>
      </c>
      <c r="EF17" s="206">
        <f>SUMIFS('Expenditure Breakdown'!$U$6:$U$402, 'Expenditure Breakdown'!$T$6:$T$402, "&gt;="&amp;EF1,'Expenditure Breakdown'!$T$6:$T$402, "&lt;"&amp;GG1)</f>
        <v>0</v>
      </c>
      <c r="EG17" s="206">
        <f>SUMIFS('Expenditure Breakdown'!$U$6:$U$402, 'Expenditure Breakdown'!$T$6:$T$402, "&gt;="&amp;EG1,'Expenditure Breakdown'!$T$6:$T$402, "&lt;"&amp;GH1)</f>
        <v>0</v>
      </c>
      <c r="EH17" s="206">
        <f>SUMIFS('Expenditure Breakdown'!$U$6:$U$402, 'Expenditure Breakdown'!$T$6:$T$402, "&gt;="&amp;EH1,'Expenditure Breakdown'!$T$6:$T$402, "&lt;"&amp;GI1)</f>
        <v>0</v>
      </c>
      <c r="EI17" s="206">
        <f>SUMIFS('Expenditure Breakdown'!$U$6:$U$402, 'Expenditure Breakdown'!$T$6:$T$402, "&gt;="&amp;EI1,'Expenditure Breakdown'!$T$6:$T$402, "&lt;"&amp;GJ1)</f>
        <v>0</v>
      </c>
      <c r="EJ17" s="206">
        <f>SUMIFS('Expenditure Breakdown'!$U$6:$U$402, 'Expenditure Breakdown'!$T$6:$T$402, "&gt;="&amp;EJ1,'Expenditure Breakdown'!$T$6:$T$402, "&lt;"&amp;GK1)</f>
        <v>0</v>
      </c>
      <c r="EK17" s="206">
        <f>SUMIFS('Expenditure Breakdown'!$U$6:$U$402, 'Expenditure Breakdown'!$T$6:$T$402, "&gt;="&amp;EK1,'Expenditure Breakdown'!$T$6:$T$402, "&lt;"&amp;GL1)</f>
        <v>0</v>
      </c>
      <c r="EL17" s="206">
        <f>SUMIFS('Expenditure Breakdown'!$U$6:$U$402, 'Expenditure Breakdown'!$T$6:$T$402, "&gt;="&amp;EL1,'Expenditure Breakdown'!$T$6:$T$402, "&lt;"&amp;GM1)</f>
        <v>0</v>
      </c>
      <c r="EM17" s="206">
        <f>SUMIFS('Expenditure Breakdown'!$U$6:$U$402, 'Expenditure Breakdown'!$T$6:$T$402, "&gt;="&amp;EM1,'Expenditure Breakdown'!$T$6:$T$402, "&lt;"&amp;GN1)</f>
        <v>0</v>
      </c>
      <c r="EN17" s="206">
        <f>SUMIFS('Expenditure Breakdown'!$U$6:$U$402, 'Expenditure Breakdown'!$T$6:$T$402, "&gt;="&amp;EN1,'Expenditure Breakdown'!$T$6:$T$402, "&lt;"&amp;GO1)</f>
        <v>0</v>
      </c>
      <c r="EO17" s="206">
        <f>SUMIFS('Expenditure Breakdown'!$U$6:$U$402, 'Expenditure Breakdown'!$T$6:$T$402, "&gt;="&amp;EO1,'Expenditure Breakdown'!$T$6:$T$402, "&lt;"&amp;GP1)</f>
        <v>0</v>
      </c>
      <c r="EP17" s="206">
        <f>SUMIFS('Expenditure Breakdown'!$U$6:$U$402, 'Expenditure Breakdown'!$T$6:$T$402, "&gt;="&amp;EP1,'Expenditure Breakdown'!$T$6:$T$402, "&lt;"&amp;GQ1)</f>
        <v>0</v>
      </c>
      <c r="EQ17" s="206">
        <f>SUMIFS('Expenditure Breakdown'!$U$6:$U$402, 'Expenditure Breakdown'!$T$6:$T$402, "&gt;="&amp;EQ1,'Expenditure Breakdown'!$T$6:$T$402, "&lt;"&amp;GR1)</f>
        <v>0</v>
      </c>
      <c r="ER17" s="206">
        <f>SUMIFS('Expenditure Breakdown'!$U$6:$U$402, 'Expenditure Breakdown'!$T$6:$T$402, "&gt;="&amp;ER1,'Expenditure Breakdown'!$T$6:$T$402, "&lt;"&amp;GS1)</f>
        <v>0</v>
      </c>
      <c r="ES17" s="206">
        <f>SUMIFS('Expenditure Breakdown'!$U$6:$U$402, 'Expenditure Breakdown'!$T$6:$T$402, "&gt;="&amp;ES1,'Expenditure Breakdown'!$T$6:$T$402, "&lt;"&amp;GT1)</f>
        <v>0</v>
      </c>
      <c r="ET17" s="206">
        <f>SUMIFS('Expenditure Breakdown'!$U$6:$U$402, 'Expenditure Breakdown'!$T$6:$T$402, "&gt;="&amp;ET1,'Expenditure Breakdown'!$T$6:$T$402, "&lt;"&amp;GU1)</f>
        <v>0</v>
      </c>
      <c r="EU17" s="206">
        <f>SUMIFS('Expenditure Breakdown'!$U$6:$U$402, 'Expenditure Breakdown'!$T$6:$T$402, "&gt;="&amp;EU1,'Expenditure Breakdown'!$T$6:$T$402, "&lt;"&amp;GV1)</f>
        <v>0</v>
      </c>
      <c r="EV17" s="206">
        <f>SUMIFS('Expenditure Breakdown'!$U$6:$U$402, 'Expenditure Breakdown'!$T$6:$T$402, "&gt;="&amp;EV1,'Expenditure Breakdown'!$T$6:$T$402, "&lt;"&amp;GW1)</f>
        <v>0</v>
      </c>
      <c r="EW17" s="206">
        <f>SUMIFS('Expenditure Breakdown'!$U$6:$U$402, 'Expenditure Breakdown'!$T$6:$T$402, "&gt;="&amp;EW1,'Expenditure Breakdown'!$T$6:$T$402, "&lt;"&amp;GX1)</f>
        <v>0</v>
      </c>
      <c r="EX17" s="206">
        <f>SUMIFS('Expenditure Breakdown'!$U$6:$U$402, 'Expenditure Breakdown'!$T$6:$T$402, "&gt;="&amp;EX1,'Expenditure Breakdown'!$T$6:$T$402, "&lt;"&amp;GY1)</f>
        <v>0</v>
      </c>
      <c r="EY17" s="206">
        <f>SUMIFS('Expenditure Breakdown'!$U$6:$U$402, 'Expenditure Breakdown'!$T$6:$T$402, "&gt;="&amp;EY1,'Expenditure Breakdown'!$T$6:$T$402, "&lt;"&amp;GZ1)</f>
        <v>0</v>
      </c>
      <c r="EZ17" s="206">
        <f>SUMIFS('Expenditure Breakdown'!$U$6:$U$402, 'Expenditure Breakdown'!$T$6:$T$402, "&gt;="&amp;EZ1,'Expenditure Breakdown'!$T$6:$T$402, "&lt;"&amp;HA1)</f>
        <v>0</v>
      </c>
      <c r="FA17" s="206">
        <f>SUMIFS('Expenditure Breakdown'!$U$6:$U$402, 'Expenditure Breakdown'!$T$6:$T$402, "&gt;="&amp;FA1,'Expenditure Breakdown'!$T$6:$T$402, "&lt;"&amp;HB1)</f>
        <v>0</v>
      </c>
      <c r="FB17" s="206">
        <f>SUMIFS('Expenditure Breakdown'!$U$6:$U$402, 'Expenditure Breakdown'!$T$6:$T$402, "&gt;="&amp;FB1,'Expenditure Breakdown'!$T$6:$T$402, "&lt;"&amp;HC1)</f>
        <v>0</v>
      </c>
      <c r="FC17" s="206">
        <f>SUMIFS('Expenditure Breakdown'!$U$6:$U$402, 'Expenditure Breakdown'!$T$6:$T$402, "&gt;="&amp;FC1,'Expenditure Breakdown'!$T$6:$T$402, "&lt;"&amp;HD1)</f>
        <v>0</v>
      </c>
      <c r="FD17" s="206">
        <f>SUMIFS('Expenditure Breakdown'!$U$6:$U$402, 'Expenditure Breakdown'!$T$6:$T$402, "&gt;="&amp;FD1,'Expenditure Breakdown'!$T$6:$T$402, "&lt;"&amp;HE1)</f>
        <v>0</v>
      </c>
    </row>
    <row r="18" spans="1:160" ht="15" customHeight="1">
      <c r="A18" s="1017"/>
      <c r="B18" s="187" t="s">
        <v>1312</v>
      </c>
      <c r="C18" s="365">
        <f>D17-D18</f>
        <v>0</v>
      </c>
      <c r="D18" s="188">
        <f>MAX(F18:DD18)</f>
        <v>143528295.71646768</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17898373.988438204</v>
      </c>
      <c r="BL18" s="206">
        <f t="shared" si="292"/>
        <v>17898373.988438204</v>
      </c>
      <c r="BM18" s="206">
        <f t="shared" si="292"/>
        <v>17898373.988438204</v>
      </c>
      <c r="BN18" s="206">
        <f t="shared" si="292"/>
        <v>17898373.988438204</v>
      </c>
      <c r="BO18" s="206">
        <f t="shared" si="292"/>
        <v>17898373.988438204</v>
      </c>
      <c r="BP18" s="206">
        <f t="shared" si="292"/>
        <v>23565046.26286184</v>
      </c>
      <c r="BQ18" s="206">
        <f t="shared" si="292"/>
        <v>23565046.26286184</v>
      </c>
      <c r="BR18" s="206">
        <f t="shared" si="292"/>
        <v>23565046.26286184</v>
      </c>
      <c r="BS18" s="206">
        <f t="shared" si="292"/>
        <v>23565046.26286184</v>
      </c>
      <c r="BT18" s="206">
        <f t="shared" si="292"/>
        <v>77954223.588715598</v>
      </c>
      <c r="BU18" s="206">
        <f t="shared" ref="BU18:DB18" si="293">BT18+BU17</f>
        <v>77954223.588715598</v>
      </c>
      <c r="BV18" s="206">
        <f t="shared" si="293"/>
        <v>77954223.588715598</v>
      </c>
      <c r="BW18" s="206">
        <f t="shared" si="293"/>
        <v>77954223.588715598</v>
      </c>
      <c r="BX18" s="206">
        <f t="shared" si="293"/>
        <v>112381691.74149561</v>
      </c>
      <c r="BY18" s="206">
        <f t="shared" si="293"/>
        <v>112381691.74149561</v>
      </c>
      <c r="BZ18" s="206">
        <f t="shared" si="293"/>
        <v>112381691.74149561</v>
      </c>
      <c r="CA18" s="206">
        <f t="shared" si="293"/>
        <v>112381691.74149561</v>
      </c>
      <c r="CB18" s="206">
        <f t="shared" si="293"/>
        <v>112381691.74149561</v>
      </c>
      <c r="CC18" s="206">
        <f t="shared" si="293"/>
        <v>125387952.72100961</v>
      </c>
      <c r="CD18" s="206">
        <f t="shared" si="293"/>
        <v>125387952.72100961</v>
      </c>
      <c r="CE18" s="206">
        <f t="shared" si="293"/>
        <v>125387952.72100961</v>
      </c>
      <c r="CF18" s="206">
        <f t="shared" si="293"/>
        <v>125387952.72100961</v>
      </c>
      <c r="CG18" s="206">
        <f t="shared" si="293"/>
        <v>132634174.35216299</v>
      </c>
      <c r="CH18" s="206">
        <f t="shared" si="293"/>
        <v>132634174.35216299</v>
      </c>
      <c r="CI18" s="206">
        <f t="shared" si="293"/>
        <v>132634174.35216299</v>
      </c>
      <c r="CJ18" s="206">
        <f t="shared" si="293"/>
        <v>132634174.35216299</v>
      </c>
      <c r="CK18" s="206">
        <f t="shared" si="293"/>
        <v>132642201.69798562</v>
      </c>
      <c r="CL18" s="206">
        <f t="shared" si="293"/>
        <v>142955447.36749679</v>
      </c>
      <c r="CM18" s="206">
        <f t="shared" si="293"/>
        <v>142955447.36749679</v>
      </c>
      <c r="CN18" s="206">
        <f t="shared" si="293"/>
        <v>142955447.36749679</v>
      </c>
      <c r="CO18" s="206">
        <f t="shared" si="293"/>
        <v>142955447.36749679</v>
      </c>
      <c r="CP18" s="206">
        <f t="shared" si="293"/>
        <v>143476893.39945802</v>
      </c>
      <c r="CQ18" s="206">
        <f t="shared" si="293"/>
        <v>143476893.39945802</v>
      </c>
      <c r="CR18" s="206">
        <f t="shared" si="293"/>
        <v>143476893.39945802</v>
      </c>
      <c r="CS18" s="206">
        <f t="shared" si="293"/>
        <v>143476893.39945802</v>
      </c>
      <c r="CT18" s="206">
        <f t="shared" si="293"/>
        <v>143528295.71646768</v>
      </c>
      <c r="CU18" s="206">
        <f t="shared" si="293"/>
        <v>143528295.71646768</v>
      </c>
      <c r="CV18" s="206">
        <f t="shared" si="293"/>
        <v>143528295.71646768</v>
      </c>
      <c r="CW18" s="206">
        <f t="shared" si="293"/>
        <v>143528295.71646768</v>
      </c>
      <c r="CX18" s="206">
        <f t="shared" si="293"/>
        <v>143528295.71646768</v>
      </c>
      <c r="CY18" s="206">
        <f t="shared" si="293"/>
        <v>143528295.71646768</v>
      </c>
      <c r="CZ18" s="206">
        <f t="shared" si="293"/>
        <v>143528295.71646768</v>
      </c>
      <c r="DA18" s="206">
        <f t="shared" si="293"/>
        <v>143528295.71646768</v>
      </c>
      <c r="DB18" s="206">
        <f t="shared" si="293"/>
        <v>143528295.71646768</v>
      </c>
      <c r="DC18" s="206">
        <f t="shared" ref="DC18" si="294">DB18+DC17</f>
        <v>143528295.71646768</v>
      </c>
      <c r="DD18" s="206">
        <f t="shared" ref="DD18" si="295">DC18+DD17</f>
        <v>143528295.71646768</v>
      </c>
      <c r="DE18" s="206">
        <f t="shared" ref="DE18" si="296">DD18+DE17</f>
        <v>143528295.71646768</v>
      </c>
      <c r="DF18" s="206">
        <f t="shared" ref="DF18" si="297">DE18+DF17</f>
        <v>143528295.71646768</v>
      </c>
      <c r="DG18" s="206">
        <f t="shared" ref="DG18" si="298">DF18+DG17</f>
        <v>143528295.71646768</v>
      </c>
      <c r="DH18" s="206">
        <f t="shared" ref="DH18" si="299">DG18+DH17</f>
        <v>143528295.71646768</v>
      </c>
      <c r="DI18" s="206">
        <f t="shared" ref="DI18" si="300">DH18+DI17</f>
        <v>143528295.71646768</v>
      </c>
      <c r="DJ18" s="206">
        <f t="shared" ref="DJ18" si="301">DI18+DJ17</f>
        <v>143528295.71646768</v>
      </c>
      <c r="DK18" s="206">
        <f t="shared" ref="DK18" si="302">DJ18+DK17</f>
        <v>143528295.71646768</v>
      </c>
      <c r="DL18" s="206">
        <f t="shared" ref="DL18" si="303">DK18+DL17</f>
        <v>143528295.71646768</v>
      </c>
      <c r="DM18" s="206">
        <f t="shared" ref="DM18" si="304">DL18+DM17</f>
        <v>143528295.71646768</v>
      </c>
      <c r="DN18" s="206">
        <f t="shared" ref="DN18" si="305">DM18+DN17</f>
        <v>143528295.71646768</v>
      </c>
      <c r="DO18" s="206">
        <f t="shared" ref="DO18" si="306">DN18+DO17</f>
        <v>143528295.71646768</v>
      </c>
      <c r="DP18" s="206">
        <f t="shared" ref="DP18" si="307">DO18+DP17</f>
        <v>143528295.71646768</v>
      </c>
      <c r="DQ18" s="206">
        <f t="shared" ref="DQ18" si="308">DP18+DQ17</f>
        <v>143528295.71646768</v>
      </c>
      <c r="DR18" s="206">
        <f t="shared" ref="DR18" si="309">DQ18+DR17</f>
        <v>143528295.71646768</v>
      </c>
      <c r="DS18" s="206">
        <f t="shared" ref="DS18" si="310">DR18+DS17</f>
        <v>143528295.71646768</v>
      </c>
      <c r="DT18" s="206">
        <f t="shared" ref="DT18" si="311">DS18+DT17</f>
        <v>143528295.71646768</v>
      </c>
      <c r="DU18" s="206">
        <f t="shared" ref="DU18" si="312">DT18+DU17</f>
        <v>143528295.71646768</v>
      </c>
      <c r="DV18" s="206">
        <f t="shared" ref="DV18" si="313">DU18+DV17</f>
        <v>143528295.71646768</v>
      </c>
      <c r="DW18" s="206">
        <f t="shared" ref="DW18" si="314">DV18+DW17</f>
        <v>143528295.71646768</v>
      </c>
      <c r="DX18" s="206">
        <f t="shared" ref="DX18" si="315">DW18+DX17</f>
        <v>143528295.71646768</v>
      </c>
      <c r="DY18" s="206">
        <f t="shared" ref="DY18" si="316">DX18+DY17</f>
        <v>143528295.71646768</v>
      </c>
      <c r="DZ18" s="206">
        <f t="shared" ref="DZ18" si="317">DY18+DZ17</f>
        <v>143528295.71646768</v>
      </c>
      <c r="EA18" s="206">
        <f t="shared" ref="EA18" si="318">DZ18+EA17</f>
        <v>143528295.71646768</v>
      </c>
      <c r="EB18" s="206">
        <f t="shared" ref="EB18" si="319">EA18+EB17</f>
        <v>143528295.71646768</v>
      </c>
      <c r="EC18" s="206">
        <f t="shared" ref="EC18" si="320">EB18+EC17</f>
        <v>143528295.71646768</v>
      </c>
      <c r="ED18" s="206">
        <f t="shared" ref="ED18" si="321">EC18+ED17</f>
        <v>143528295.71646768</v>
      </c>
      <c r="EE18" s="206">
        <f t="shared" ref="EE18" si="322">ED18+EE17</f>
        <v>143528295.71646768</v>
      </c>
      <c r="EF18" s="206">
        <f t="shared" ref="EF18" si="323">EE18+EF17</f>
        <v>143528295.71646768</v>
      </c>
      <c r="EG18" s="206">
        <f t="shared" ref="EG18" si="324">EF18+EG17</f>
        <v>143528295.71646768</v>
      </c>
      <c r="EH18" s="206">
        <f t="shared" ref="EH18" si="325">EG18+EH17</f>
        <v>143528295.71646768</v>
      </c>
      <c r="EI18" s="206">
        <f t="shared" ref="EI18" si="326">EH18+EI17</f>
        <v>143528295.71646768</v>
      </c>
      <c r="EJ18" s="206">
        <f t="shared" ref="EJ18" si="327">EI18+EJ17</f>
        <v>143528295.71646768</v>
      </c>
      <c r="EK18" s="206">
        <f t="shared" ref="EK18" si="328">EJ18+EK17</f>
        <v>143528295.71646768</v>
      </c>
      <c r="EL18" s="206">
        <f t="shared" ref="EL18" si="329">EK18+EL17</f>
        <v>143528295.71646768</v>
      </c>
      <c r="EM18" s="206">
        <f t="shared" ref="EM18" si="330">EL18+EM17</f>
        <v>143528295.71646768</v>
      </c>
      <c r="EN18" s="206">
        <f t="shared" ref="EN18" si="331">EM18+EN17</f>
        <v>143528295.71646768</v>
      </c>
      <c r="EO18" s="206">
        <f t="shared" ref="EO18" si="332">EN18+EO17</f>
        <v>143528295.71646768</v>
      </c>
      <c r="EP18" s="206">
        <f t="shared" ref="EP18" si="333">EO18+EP17</f>
        <v>143528295.71646768</v>
      </c>
      <c r="EQ18" s="206">
        <f t="shared" ref="EQ18" si="334">EP18+EQ17</f>
        <v>143528295.71646768</v>
      </c>
      <c r="ER18" s="206">
        <f t="shared" ref="ER18" si="335">EQ18+ER17</f>
        <v>143528295.71646768</v>
      </c>
      <c r="ES18" s="206">
        <f t="shared" ref="ES18" si="336">ER18+ES17</f>
        <v>143528295.71646768</v>
      </c>
      <c r="ET18" s="206">
        <f t="shared" ref="ET18" si="337">ES18+ET17</f>
        <v>143528295.71646768</v>
      </c>
      <c r="EU18" s="206">
        <f t="shared" ref="EU18" si="338">ET18+EU17</f>
        <v>143528295.71646768</v>
      </c>
      <c r="EV18" s="206">
        <f t="shared" ref="EV18" si="339">EU18+EV17</f>
        <v>143528295.71646768</v>
      </c>
      <c r="EW18" s="206">
        <f t="shared" ref="EW18" si="340">EV18+EW17</f>
        <v>143528295.71646768</v>
      </c>
      <c r="EX18" s="206">
        <f t="shared" ref="EX18" si="341">EW18+EX17</f>
        <v>143528295.71646768</v>
      </c>
      <c r="EY18" s="206">
        <f t="shared" ref="EY18" si="342">EX18+EY17</f>
        <v>143528295.71646768</v>
      </c>
      <c r="EZ18" s="206">
        <f t="shared" ref="EZ18" si="343">EY18+EZ17</f>
        <v>143528295.71646768</v>
      </c>
      <c r="FA18" s="206">
        <f t="shared" ref="FA18" si="344">EZ18+FA17</f>
        <v>143528295.71646768</v>
      </c>
      <c r="FB18" s="206">
        <f t="shared" ref="FB18" si="345">FA18+FB17</f>
        <v>143528295.71646768</v>
      </c>
      <c r="FC18" s="206">
        <f t="shared" ref="FC18" si="346">FB18+FC17</f>
        <v>143528295.71646768</v>
      </c>
      <c r="FD18" s="206">
        <f t="shared" ref="FD18" si="347">FC18+FD17</f>
        <v>143528295.71646768</v>
      </c>
    </row>
    <row r="19" spans="1:160" s="183" customFormat="1" ht="15" customHeight="1"/>
    <row r="25" spans="1:160" ht="15" customHeight="1">
      <c r="D25" s="777">
        <f>D11-C11</f>
        <v>-249999.9999999702</v>
      </c>
    </row>
  </sheetData>
  <mergeCells count="3">
    <mergeCell ref="A2:A7"/>
    <mergeCell ref="A8:A14"/>
    <mergeCell ref="A17:A18"/>
  </mergeCells>
  <conditionalFormatting sqref="C17">
    <cfRule type="cellIs" dxfId="20" priority="1" operator="greaterThan">
      <formula>0.1</formula>
    </cfRule>
  </conditionalFormatting>
  <conditionalFormatting sqref="D3">
    <cfRule type="cellIs" dxfId="19" priority="10" operator="notEqual">
      <formula>$C$3</formula>
    </cfRule>
  </conditionalFormatting>
  <conditionalFormatting sqref="D5">
    <cfRule type="cellIs" dxfId="18" priority="8" operator="notEqual">
      <formula>$C$5</formula>
    </cfRule>
  </conditionalFormatting>
  <conditionalFormatting sqref="D9">
    <cfRule type="cellIs" dxfId="17" priority="9" operator="notEqual">
      <formula>$C$9</formula>
    </cfRule>
  </conditionalFormatting>
  <conditionalFormatting sqref="D11">
    <cfRule type="cellIs" dxfId="16" priority="7" operator="notEqual">
      <formula>$C$11</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9.453125" style="356" bestFit="1" customWidth="1"/>
    <col min="2" max="2" width="17.36328125" style="357" bestFit="1" customWidth="1"/>
    <col min="3" max="3" width="4.90625" style="356" bestFit="1" customWidth="1"/>
    <col min="4" max="4" width="14.6328125" style="356" bestFit="1" customWidth="1"/>
    <col min="5" max="7" width="16" style="356" bestFit="1" customWidth="1"/>
    <col min="8" max="8" width="14.6328125" style="356" bestFit="1" customWidth="1"/>
    <col min="9" max="9" width="16" style="356" bestFit="1" customWidth="1"/>
    <col min="10" max="11" width="14.6328125" style="356" bestFit="1" customWidth="1"/>
    <col min="12" max="12" width="13" style="356" bestFit="1" customWidth="1"/>
    <col min="13" max="13" width="13.36328125" style="356" bestFit="1" customWidth="1"/>
    <col min="14" max="17" width="10.6328125" style="356" bestFit="1" customWidth="1"/>
    <col min="18" max="18" width="11.6328125" style="356" bestFit="1" customWidth="1"/>
    <col min="19" max="19" width="17.36328125" style="356" bestFit="1" customWidth="1"/>
    <col min="20" max="16384" width="12.54296875" style="356"/>
  </cols>
  <sheetData>
    <row r="1" spans="1:20">
      <c r="A1"/>
      <c r="B1"/>
    </row>
    <row r="2" spans="1:20">
      <c r="A2"/>
      <c r="B2"/>
      <c r="C2"/>
      <c r="D2"/>
      <c r="E2"/>
      <c r="F2"/>
      <c r="G2"/>
      <c r="H2"/>
      <c r="I2"/>
      <c r="J2"/>
      <c r="K2"/>
      <c r="L2"/>
      <c r="M2"/>
      <c r="N2"/>
      <c r="O2"/>
      <c r="P2"/>
      <c r="Q2"/>
      <c r="R2"/>
      <c r="S2"/>
      <c r="T2"/>
    </row>
    <row r="3" spans="1:20">
      <c r="A3" s="439" t="s">
        <v>1313</v>
      </c>
      <c r="B3" s="439" t="s">
        <v>1314</v>
      </c>
      <c r="C3"/>
      <c r="D3"/>
      <c r="E3"/>
      <c r="F3"/>
      <c r="G3"/>
      <c r="H3"/>
      <c r="I3"/>
      <c r="J3"/>
      <c r="K3"/>
      <c r="L3"/>
      <c r="M3"/>
      <c r="N3"/>
      <c r="O3"/>
      <c r="P3"/>
      <c r="Q3"/>
      <c r="R3"/>
      <c r="S3"/>
      <c r="T3"/>
    </row>
    <row r="4" spans="1:20">
      <c r="A4" s="439" t="s">
        <v>1315</v>
      </c>
      <c r="B4" t="s">
        <v>1316</v>
      </c>
      <c r="C4"/>
      <c r="D4" s="441">
        <v>46112</v>
      </c>
      <c r="E4" s="441">
        <v>46081</v>
      </c>
      <c r="F4" s="441">
        <v>46142</v>
      </c>
      <c r="G4" s="441">
        <v>46173</v>
      </c>
      <c r="H4" s="441">
        <v>46265</v>
      </c>
      <c r="I4" s="441">
        <v>46203</v>
      </c>
      <c r="J4" s="441">
        <v>46234</v>
      </c>
      <c r="K4" s="441">
        <v>46295</v>
      </c>
      <c r="L4" s="441">
        <v>46721</v>
      </c>
      <c r="M4" s="441">
        <v>46326</v>
      </c>
      <c r="N4" s="441">
        <v>46172</v>
      </c>
      <c r="O4" s="441">
        <v>46202</v>
      </c>
      <c r="P4" s="441">
        <v>46232</v>
      </c>
      <c r="Q4" s="441">
        <v>46262</v>
      </c>
      <c r="R4" t="s">
        <v>1237</v>
      </c>
      <c r="S4" t="s">
        <v>1317</v>
      </c>
      <c r="T4"/>
    </row>
    <row r="5" spans="1:20">
      <c r="A5" s="440" t="s">
        <v>1316</v>
      </c>
      <c r="B5" s="361"/>
      <c r="C5" s="361"/>
      <c r="D5" s="361"/>
      <c r="E5" s="361"/>
      <c r="F5" s="361"/>
      <c r="G5" s="361"/>
      <c r="H5" s="361"/>
      <c r="I5" s="361"/>
      <c r="J5" s="361"/>
      <c r="K5" s="361"/>
      <c r="L5" s="361"/>
      <c r="M5" s="361"/>
      <c r="N5" s="361"/>
      <c r="O5" s="361"/>
      <c r="P5" s="361"/>
      <c r="Q5" s="361"/>
      <c r="R5" s="361"/>
      <c r="S5" s="361"/>
      <c r="T5"/>
    </row>
    <row r="6" spans="1:20">
      <c r="A6" s="440" t="s">
        <v>961</v>
      </c>
      <c r="B6" s="361">
        <v>0</v>
      </c>
      <c r="C6" s="361">
        <v>0</v>
      </c>
      <c r="D6" s="361"/>
      <c r="E6" s="361"/>
      <c r="F6" s="361">
        <v>34471826.94179891</v>
      </c>
      <c r="G6" s="361"/>
      <c r="H6" s="361"/>
      <c r="I6" s="361"/>
      <c r="J6" s="361"/>
      <c r="K6" s="361"/>
      <c r="L6" s="361"/>
      <c r="M6" s="361"/>
      <c r="N6" s="361"/>
      <c r="O6" s="361"/>
      <c r="P6" s="361"/>
      <c r="Q6" s="361"/>
      <c r="R6" s="361"/>
      <c r="S6" s="361">
        <v>34471826.94179891</v>
      </c>
      <c r="T6"/>
    </row>
    <row r="7" spans="1:20">
      <c r="A7" s="440" t="s">
        <v>977</v>
      </c>
      <c r="B7" s="361"/>
      <c r="C7" s="361">
        <v>0</v>
      </c>
      <c r="D7" s="361"/>
      <c r="E7" s="361">
        <v>470933.13476285973</v>
      </c>
      <c r="F7" s="361">
        <v>9778788.0336052645</v>
      </c>
      <c r="G7" s="361"/>
      <c r="H7" s="361"/>
      <c r="I7" s="361"/>
      <c r="J7" s="361">
        <v>71612.164965179807</v>
      </c>
      <c r="K7" s="361"/>
      <c r="L7" s="361"/>
      <c r="M7" s="361"/>
      <c r="N7" s="361"/>
      <c r="O7" s="361"/>
      <c r="P7" s="361"/>
      <c r="Q7" s="361"/>
      <c r="R7" s="361"/>
      <c r="S7" s="361">
        <v>10321333.333333304</v>
      </c>
      <c r="T7"/>
    </row>
    <row r="8" spans="1:20">
      <c r="A8" s="440" t="s">
        <v>993</v>
      </c>
      <c r="B8" s="361">
        <v>0</v>
      </c>
      <c r="C8" s="361">
        <v>0</v>
      </c>
      <c r="D8" s="361"/>
      <c r="E8" s="361">
        <v>6488467.0056855176</v>
      </c>
      <c r="F8" s="361">
        <v>7344956.1226313319</v>
      </c>
      <c r="G8" s="361">
        <v>4844722.0309118526</v>
      </c>
      <c r="H8" s="361">
        <v>1793364.5174112662</v>
      </c>
      <c r="I8" s="361">
        <v>6124204.0486580599</v>
      </c>
      <c r="J8" s="361"/>
      <c r="K8" s="361">
        <v>220950.40168607174</v>
      </c>
      <c r="L8" s="361"/>
      <c r="M8" s="361"/>
      <c r="N8" s="361"/>
      <c r="O8" s="361"/>
      <c r="P8" s="361"/>
      <c r="Q8" s="361"/>
      <c r="R8" s="361"/>
      <c r="S8" s="361">
        <v>26816664.126984097</v>
      </c>
      <c r="T8"/>
    </row>
    <row r="9" spans="1:20">
      <c r="A9" s="440" t="s">
        <v>1010</v>
      </c>
      <c r="B9" s="361"/>
      <c r="C9" s="361">
        <v>0</v>
      </c>
      <c r="D9" s="361"/>
      <c r="E9" s="361"/>
      <c r="F9" s="361">
        <v>1113519.1772880901</v>
      </c>
      <c r="G9" s="361">
        <v>978592.65361901815</v>
      </c>
      <c r="H9" s="361">
        <v>139184.35878340135</v>
      </c>
      <c r="I9" s="361">
        <v>1871272.6483041113</v>
      </c>
      <c r="J9" s="361">
        <v>4910424.1778783994</v>
      </c>
      <c r="K9" s="361"/>
      <c r="L9" s="361"/>
      <c r="M9" s="361"/>
      <c r="N9" s="361"/>
      <c r="O9" s="361"/>
      <c r="P9" s="361"/>
      <c r="Q9" s="361"/>
      <c r="R9" s="361"/>
      <c r="S9" s="361">
        <v>9012993.0158730205</v>
      </c>
      <c r="T9"/>
    </row>
    <row r="10" spans="1:20">
      <c r="A10" s="440" t="s">
        <v>1028</v>
      </c>
      <c r="B10" s="361">
        <v>0</v>
      </c>
      <c r="C10" s="361">
        <v>0</v>
      </c>
      <c r="D10" s="361"/>
      <c r="E10" s="361"/>
      <c r="F10" s="361"/>
      <c r="G10" s="361">
        <v>4205291.0052910103</v>
      </c>
      <c r="H10" s="361"/>
      <c r="I10" s="361"/>
      <c r="J10" s="361"/>
      <c r="K10" s="361"/>
      <c r="L10" s="361"/>
      <c r="M10" s="361"/>
      <c r="N10" s="361"/>
      <c r="O10" s="361"/>
      <c r="P10" s="361"/>
      <c r="Q10" s="361"/>
      <c r="R10" s="361"/>
      <c r="S10" s="361">
        <v>4205291.0052910103</v>
      </c>
      <c r="T10"/>
    </row>
    <row r="11" spans="1:20">
      <c r="A11" s="440" t="s">
        <v>1036</v>
      </c>
      <c r="B11" s="361"/>
      <c r="C11" s="361">
        <v>0</v>
      </c>
      <c r="D11" s="361"/>
      <c r="E11" s="361">
        <v>987571.85363599309</v>
      </c>
      <c r="F11" s="361">
        <v>2624200.2099140794</v>
      </c>
      <c r="G11" s="361">
        <v>15925434.159048002</v>
      </c>
      <c r="H11" s="361"/>
      <c r="I11" s="361">
        <v>330522.72260941222</v>
      </c>
      <c r="J11" s="361">
        <v>330522.72260941222</v>
      </c>
      <c r="K11" s="361"/>
      <c r="L11" s="361"/>
      <c r="M11" s="361"/>
      <c r="N11" s="361"/>
      <c r="O11" s="361"/>
      <c r="P11" s="361"/>
      <c r="Q11" s="361"/>
      <c r="R11" s="361"/>
      <c r="S11" s="361">
        <v>20198251.6678169</v>
      </c>
      <c r="T11"/>
    </row>
    <row r="12" spans="1:20">
      <c r="A12" s="440" t="s">
        <v>1067</v>
      </c>
      <c r="B12" s="361">
        <v>0</v>
      </c>
      <c r="C12" s="361">
        <v>0</v>
      </c>
      <c r="D12" s="361">
        <v>2569315.3833374856</v>
      </c>
      <c r="E12" s="361">
        <v>7445818.1754204324</v>
      </c>
      <c r="F12" s="361">
        <v>3279192.9278470776</v>
      </c>
      <c r="G12" s="361">
        <v>1395289.7265469581</v>
      </c>
      <c r="H12" s="361"/>
      <c r="I12" s="361"/>
      <c r="J12" s="361"/>
      <c r="K12" s="361"/>
      <c r="L12" s="361"/>
      <c r="M12" s="361"/>
      <c r="N12" s="361"/>
      <c r="O12" s="361"/>
      <c r="P12" s="361"/>
      <c r="Q12" s="361"/>
      <c r="R12" s="361"/>
      <c r="S12" s="361">
        <v>14689616.213151954</v>
      </c>
      <c r="T12"/>
    </row>
    <row r="13" spans="1:20">
      <c r="A13" s="440" t="s">
        <v>1100</v>
      </c>
      <c r="B13" s="361"/>
      <c r="C13" s="361">
        <v>0</v>
      </c>
      <c r="D13" s="361"/>
      <c r="E13" s="361"/>
      <c r="F13" s="361">
        <v>3649998.5522372713</v>
      </c>
      <c r="G13" s="361">
        <v>3605455.453943667</v>
      </c>
      <c r="H13" s="361">
        <v>2488202.9843005049</v>
      </c>
      <c r="I13" s="361">
        <v>1055127.6597627306</v>
      </c>
      <c r="J13" s="361">
        <v>1015916.6699437172</v>
      </c>
      <c r="K13" s="361">
        <v>1408491.0422595968</v>
      </c>
      <c r="L13" s="361">
        <v>556670.57522287162</v>
      </c>
      <c r="M13" s="361">
        <v>160168.5840687693</v>
      </c>
      <c r="N13" s="361"/>
      <c r="O13" s="361"/>
      <c r="P13" s="361"/>
      <c r="Q13" s="361"/>
      <c r="R13" s="361"/>
      <c r="S13" s="361">
        <v>13940031.521739129</v>
      </c>
      <c r="T13"/>
    </row>
    <row r="14" spans="1:20">
      <c r="A14" s="440" t="s">
        <v>1136</v>
      </c>
      <c r="B14" s="361">
        <v>0</v>
      </c>
      <c r="C14" s="361">
        <v>0</v>
      </c>
      <c r="D14" s="361">
        <v>491499.33344619791</v>
      </c>
      <c r="E14" s="361">
        <v>2006.8364556574199</v>
      </c>
      <c r="F14" s="361">
        <v>248647.03685595436</v>
      </c>
      <c r="G14" s="361">
        <v>895851.79380547232</v>
      </c>
      <c r="H14" s="361">
        <v>3311.2801518347428</v>
      </c>
      <c r="I14" s="361">
        <v>128738.5586304235</v>
      </c>
      <c r="J14" s="361">
        <v>3311.2801518347428</v>
      </c>
      <c r="K14" s="361"/>
      <c r="L14" s="361"/>
      <c r="M14" s="361"/>
      <c r="N14" s="361">
        <v>8027.3458226296798</v>
      </c>
      <c r="O14" s="361">
        <v>8027.3458226296798</v>
      </c>
      <c r="P14" s="361">
        <v>8027.3458226296798</v>
      </c>
      <c r="Q14" s="361">
        <v>8027.3458226296798</v>
      </c>
      <c r="R14" s="361"/>
      <c r="S14" s="361">
        <v>1805475.5027878941</v>
      </c>
      <c r="T14"/>
    </row>
    <row r="15" spans="1:20">
      <c r="A15" s="440" t="s">
        <v>1166</v>
      </c>
      <c r="B15" s="361">
        <v>0</v>
      </c>
      <c r="C15" s="361">
        <v>0</v>
      </c>
      <c r="D15" s="361">
        <v>17882.043319672168</v>
      </c>
      <c r="E15" s="361">
        <v>435656.74807302555</v>
      </c>
      <c r="F15" s="361">
        <v>54718.578739231438</v>
      </c>
      <c r="G15" s="361">
        <v>54718.578739231438</v>
      </c>
      <c r="H15" s="361">
        <v>41531.387973032513</v>
      </c>
      <c r="I15" s="361">
        <v>1138146.0910792104</v>
      </c>
      <c r="J15" s="361">
        <v>54718.578739231438</v>
      </c>
      <c r="K15" s="361">
        <v>41531.387973032513</v>
      </c>
      <c r="L15" s="361"/>
      <c r="M15" s="361">
        <v>41531.387973032513</v>
      </c>
      <c r="N15" s="361"/>
      <c r="O15" s="361"/>
      <c r="P15" s="361"/>
      <c r="Q15" s="361"/>
      <c r="R15" s="361"/>
      <c r="S15" s="361">
        <v>1880434.7826087</v>
      </c>
      <c r="T15"/>
    </row>
    <row r="16" spans="1:20">
      <c r="A16" s="440" t="s">
        <v>1202</v>
      </c>
      <c r="B16" s="361">
        <v>0</v>
      </c>
      <c r="C16" s="361">
        <v>0</v>
      </c>
      <c r="D16" s="361"/>
      <c r="E16" s="361"/>
      <c r="F16" s="361">
        <v>46875.000000000007</v>
      </c>
      <c r="G16" s="361">
        <v>46875.000000000007</v>
      </c>
      <c r="H16" s="361">
        <v>3378125</v>
      </c>
      <c r="I16" s="361">
        <v>1009089.8062387652</v>
      </c>
      <c r="J16" s="361">
        <v>119791.66666666669</v>
      </c>
      <c r="K16" s="361">
        <v>119791.66666666669</v>
      </c>
      <c r="L16" s="361"/>
      <c r="M16" s="361"/>
      <c r="N16" s="361"/>
      <c r="O16" s="361"/>
      <c r="P16" s="361"/>
      <c r="Q16" s="361"/>
      <c r="R16" s="361"/>
      <c r="S16" s="361">
        <v>4720548.1395720989</v>
      </c>
      <c r="T16"/>
    </row>
    <row r="17" spans="1:20">
      <c r="A17" s="440" t="s">
        <v>1219</v>
      </c>
      <c r="B17" s="361">
        <v>0</v>
      </c>
      <c r="C17" s="361">
        <v>0</v>
      </c>
      <c r="D17" s="361">
        <v>34888.486716360807</v>
      </c>
      <c r="E17" s="361">
        <v>34888.486716360807</v>
      </c>
      <c r="F17" s="361">
        <v>48854.624585881684</v>
      </c>
      <c r="G17" s="361">
        <v>34888.486716360807</v>
      </c>
      <c r="H17" s="361">
        <v>20922.34884683993</v>
      </c>
      <c r="I17" s="361">
        <v>34888.486716360807</v>
      </c>
      <c r="J17" s="361">
        <v>34888.486716360807</v>
      </c>
      <c r="K17" s="361"/>
      <c r="L17" s="361"/>
      <c r="M17" s="361"/>
      <c r="N17" s="361"/>
      <c r="O17" s="361"/>
      <c r="P17" s="361"/>
      <c r="Q17" s="361"/>
      <c r="R17" s="361">
        <v>1692.0513188073371</v>
      </c>
      <c r="S17" s="361">
        <v>245911.45833333299</v>
      </c>
      <c r="T17"/>
    </row>
    <row r="18" spans="1:20">
      <c r="A18" s="440" t="s">
        <v>1254</v>
      </c>
      <c r="B18" s="361">
        <v>0</v>
      </c>
      <c r="C18" s="361">
        <v>0</v>
      </c>
      <c r="D18" s="361">
        <v>117986.2987715463</v>
      </c>
      <c r="E18" s="361">
        <v>176296.56684740281</v>
      </c>
      <c r="F18" s="361">
        <v>94758.079132849089</v>
      </c>
      <c r="G18" s="361">
        <v>77531.41710388253</v>
      </c>
      <c r="H18" s="361">
        <v>1616276.9536408936</v>
      </c>
      <c r="I18" s="361">
        <v>55076.17906580009</v>
      </c>
      <c r="J18" s="361">
        <v>35987.548915885513</v>
      </c>
      <c r="K18" s="361"/>
      <c r="L18" s="361"/>
      <c r="M18" s="361"/>
      <c r="N18" s="361"/>
      <c r="O18" s="361"/>
      <c r="P18" s="361"/>
      <c r="Q18" s="361"/>
      <c r="R18" s="361"/>
      <c r="S18" s="361">
        <v>2173913.0434782598</v>
      </c>
      <c r="T18"/>
    </row>
    <row r="19" spans="1:20">
      <c r="A19" s="440" t="s">
        <v>1062</v>
      </c>
      <c r="B19" s="361"/>
      <c r="C19" s="361">
        <v>0</v>
      </c>
      <c r="D19" s="361"/>
      <c r="E19" s="361"/>
      <c r="F19" s="361"/>
      <c r="G19" s="361"/>
      <c r="H19" s="361"/>
      <c r="I19" s="361"/>
      <c r="J19" s="361"/>
      <c r="K19" s="361">
        <v>0</v>
      </c>
      <c r="L19" s="361"/>
      <c r="M19" s="361"/>
      <c r="N19" s="361"/>
      <c r="O19" s="361"/>
      <c r="P19" s="361"/>
      <c r="Q19" s="361"/>
      <c r="R19" s="361"/>
      <c r="S19" s="361">
        <v>0</v>
      </c>
      <c r="T19"/>
    </row>
    <row r="20" spans="1:20">
      <c r="A20" s="440" t="s">
        <v>1199</v>
      </c>
      <c r="B20" s="361"/>
      <c r="C20" s="361"/>
      <c r="D20" s="361"/>
      <c r="E20" s="361"/>
      <c r="F20" s="361"/>
      <c r="G20" s="361"/>
      <c r="H20" s="361"/>
      <c r="I20" s="361"/>
      <c r="J20" s="361"/>
      <c r="K20" s="361"/>
      <c r="L20" s="361"/>
      <c r="M20" s="361"/>
      <c r="N20" s="361"/>
      <c r="O20" s="361"/>
      <c r="P20" s="361"/>
      <c r="Q20" s="361"/>
      <c r="R20" s="361"/>
      <c r="S20" s="361"/>
      <c r="T20"/>
    </row>
    <row r="21" spans="1:20">
      <c r="A21" s="440" t="s">
        <v>1317</v>
      </c>
      <c r="B21" s="361">
        <v>0</v>
      </c>
      <c r="C21" s="361">
        <v>0</v>
      </c>
      <c r="D21" s="361">
        <v>3231571.5455912631</v>
      </c>
      <c r="E21" s="361">
        <v>16041638.80759725</v>
      </c>
      <c r="F21" s="361">
        <v>62756335.284635946</v>
      </c>
      <c r="G21" s="361">
        <v>32064650.305725452</v>
      </c>
      <c r="H21" s="361">
        <v>9480918.8311077729</v>
      </c>
      <c r="I21" s="361">
        <v>11747066.201064873</v>
      </c>
      <c r="J21" s="361">
        <v>6577173.2965866877</v>
      </c>
      <c r="K21" s="361">
        <v>1790764.4985853676</v>
      </c>
      <c r="L21" s="361">
        <v>556670.57522287162</v>
      </c>
      <c r="M21" s="361">
        <v>201699.97204180181</v>
      </c>
      <c r="N21" s="361">
        <v>8027.3458226296798</v>
      </c>
      <c r="O21" s="361">
        <v>8027.3458226296798</v>
      </c>
      <c r="P21" s="361">
        <v>8027.3458226296798</v>
      </c>
      <c r="Q21" s="361">
        <v>8027.3458226296798</v>
      </c>
      <c r="R21" s="361">
        <v>1692.0513188073371</v>
      </c>
      <c r="S21" s="361">
        <v>144482290.75276861</v>
      </c>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3231571.5455912631</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S26"/>
  <sheetViews>
    <sheetView zoomScaleNormal="100" workbookViewId="0">
      <selection activeCell="D9" sqref="D9"/>
    </sheetView>
  </sheetViews>
  <sheetFormatPr defaultColWidth="8.453125" defaultRowHeight="14.5"/>
  <cols>
    <col min="1" max="1" width="21.6328125" bestFit="1" customWidth="1"/>
    <col min="2" max="2" width="17.36328125" style="400" bestFit="1" customWidth="1"/>
    <col min="3" max="3" width="12.54296875" style="400" bestFit="1" customWidth="1"/>
    <col min="4" max="4" width="16" style="400" bestFit="1" customWidth="1"/>
    <col min="5" max="5" width="14.6328125" style="400" bestFit="1" customWidth="1"/>
    <col min="6" max="8" width="16" style="400" bestFit="1" customWidth="1"/>
    <col min="9" max="9" width="14.6328125" style="400" bestFit="1" customWidth="1"/>
    <col min="10" max="11" width="14.6328125" bestFit="1" customWidth="1"/>
    <col min="12" max="12" width="13" bestFit="1" customWidth="1"/>
    <col min="13" max="13" width="13.36328125" bestFit="1" customWidth="1"/>
    <col min="14" max="17" width="10.6328125" bestFit="1" customWidth="1"/>
    <col min="18" max="18" width="11.6328125" bestFit="1" customWidth="1"/>
    <col min="19" max="19" width="17.36328125" bestFit="1" customWidth="1"/>
  </cols>
  <sheetData>
    <row r="3" spans="1:19">
      <c r="A3" s="439" t="s">
        <v>1318</v>
      </c>
      <c r="B3" s="439" t="s">
        <v>1314</v>
      </c>
      <c r="C3"/>
      <c r="D3"/>
      <c r="E3"/>
      <c r="F3"/>
      <c r="G3"/>
      <c r="H3"/>
      <c r="I3"/>
    </row>
    <row r="4" spans="1:19">
      <c r="A4" s="439" t="s">
        <v>1315</v>
      </c>
      <c r="B4" t="s">
        <v>1316</v>
      </c>
      <c r="C4"/>
      <c r="D4" s="441">
        <v>46081</v>
      </c>
      <c r="E4" s="441">
        <v>46112</v>
      </c>
      <c r="F4" s="441">
        <v>46142</v>
      </c>
      <c r="G4" s="441">
        <v>46173</v>
      </c>
      <c r="H4" s="441">
        <v>46265</v>
      </c>
      <c r="I4" s="441">
        <v>46203</v>
      </c>
      <c r="J4" s="441">
        <v>46234</v>
      </c>
      <c r="K4" s="441">
        <v>46295</v>
      </c>
      <c r="L4" s="441">
        <v>46721</v>
      </c>
      <c r="M4" s="441">
        <v>46326</v>
      </c>
      <c r="N4" s="441">
        <v>46172</v>
      </c>
      <c r="O4" s="441">
        <v>46202</v>
      </c>
      <c r="P4" s="441">
        <v>46232</v>
      </c>
      <c r="Q4" s="441">
        <v>46262</v>
      </c>
      <c r="R4" t="s">
        <v>1237</v>
      </c>
      <c r="S4" t="s">
        <v>1317</v>
      </c>
    </row>
    <row r="5" spans="1:19">
      <c r="A5" s="440" t="s">
        <v>1316</v>
      </c>
      <c r="B5" s="442"/>
      <c r="C5" s="442"/>
      <c r="D5" s="442"/>
      <c r="E5" s="442"/>
      <c r="F5" s="442"/>
      <c r="G5" s="442"/>
      <c r="H5" s="442"/>
      <c r="I5" s="442"/>
      <c r="J5" s="442"/>
      <c r="K5" s="442"/>
      <c r="L5" s="442"/>
      <c r="M5" s="442"/>
      <c r="N5" s="442"/>
      <c r="O5" s="442"/>
      <c r="P5" s="442"/>
      <c r="Q5" s="442"/>
      <c r="R5" s="442"/>
      <c r="S5" s="442"/>
    </row>
    <row r="6" spans="1:19">
      <c r="A6" s="440" t="s">
        <v>961</v>
      </c>
      <c r="B6" s="442"/>
      <c r="C6" s="442"/>
      <c r="D6" s="442"/>
      <c r="E6" s="442"/>
      <c r="F6" s="442">
        <v>33532646.899999999</v>
      </c>
      <c r="G6" s="442"/>
      <c r="H6" s="442"/>
      <c r="I6" s="442"/>
      <c r="J6" s="442"/>
      <c r="K6" s="442"/>
      <c r="L6" s="442"/>
      <c r="M6" s="442"/>
      <c r="N6" s="442"/>
      <c r="O6" s="442"/>
      <c r="P6" s="442"/>
      <c r="Q6" s="442"/>
      <c r="R6" s="442"/>
      <c r="S6" s="442">
        <v>33532646.899999999</v>
      </c>
    </row>
    <row r="7" spans="1:19">
      <c r="A7" s="440" t="s">
        <v>977</v>
      </c>
      <c r="B7" s="442"/>
      <c r="C7" s="442"/>
      <c r="D7" s="442">
        <v>167876.24100000001</v>
      </c>
      <c r="E7" s="442"/>
      <c r="F7" s="442">
        <v>3485900.7689999994</v>
      </c>
      <c r="G7" s="442"/>
      <c r="H7" s="442"/>
      <c r="I7" s="442"/>
      <c r="J7" s="442">
        <v>25528</v>
      </c>
      <c r="K7" s="442"/>
      <c r="L7" s="442"/>
      <c r="M7" s="442"/>
      <c r="N7" s="442"/>
      <c r="O7" s="442"/>
      <c r="P7" s="442"/>
      <c r="Q7" s="442"/>
      <c r="R7" s="442"/>
      <c r="S7" s="442">
        <v>3679305.0099999993</v>
      </c>
    </row>
    <row r="8" spans="1:19">
      <c r="A8" s="440" t="s">
        <v>993</v>
      </c>
      <c r="B8" s="442"/>
      <c r="C8" s="442"/>
      <c r="D8" s="442">
        <v>2796246.6850782004</v>
      </c>
      <c r="E8" s="442"/>
      <c r="F8" s="442">
        <v>3165356.191525056</v>
      </c>
      <c r="G8" s="442">
        <v>2087864.1915250563</v>
      </c>
      <c r="H8" s="442">
        <v>772862</v>
      </c>
      <c r="I8" s="442">
        <v>2639265.2154656881</v>
      </c>
      <c r="J8" s="442"/>
      <c r="K8" s="442">
        <v>95220</v>
      </c>
      <c r="L8" s="442"/>
      <c r="M8" s="442"/>
      <c r="N8" s="442"/>
      <c r="O8" s="442"/>
      <c r="P8" s="442"/>
      <c r="Q8" s="442"/>
      <c r="R8" s="442"/>
      <c r="S8" s="442">
        <v>11556814.283594001</v>
      </c>
    </row>
    <row r="9" spans="1:19">
      <c r="A9" s="440" t="s">
        <v>1010</v>
      </c>
      <c r="B9" s="442"/>
      <c r="C9" s="442"/>
      <c r="D9" s="442"/>
      <c r="E9" s="442"/>
      <c r="F9" s="442">
        <v>1200047.75</v>
      </c>
      <c r="G9" s="442">
        <v>1054636.45</v>
      </c>
      <c r="H9" s="442">
        <v>150000</v>
      </c>
      <c r="I9" s="442">
        <v>2016684.2</v>
      </c>
      <c r="J9" s="442">
        <v>5292000</v>
      </c>
      <c r="K9" s="442"/>
      <c r="L9" s="442"/>
      <c r="M9" s="442"/>
      <c r="N9" s="442"/>
      <c r="O9" s="442"/>
      <c r="P9" s="442"/>
      <c r="Q9" s="442"/>
      <c r="R9" s="442"/>
      <c r="S9" s="442">
        <v>9713368.4000000004</v>
      </c>
    </row>
    <row r="10" spans="1:19">
      <c r="A10" s="440" t="s">
        <v>1028</v>
      </c>
      <c r="B10" s="442"/>
      <c r="C10" s="442"/>
      <c r="D10" s="442"/>
      <c r="E10" s="442"/>
      <c r="F10" s="442"/>
      <c r="G10" s="442">
        <v>3624000</v>
      </c>
      <c r="H10" s="442"/>
      <c r="I10" s="442"/>
      <c r="J10" s="442"/>
      <c r="K10" s="442"/>
      <c r="L10" s="442"/>
      <c r="M10" s="442"/>
      <c r="N10" s="442"/>
      <c r="O10" s="442"/>
      <c r="P10" s="442"/>
      <c r="Q10" s="442"/>
      <c r="R10" s="442"/>
      <c r="S10" s="442">
        <v>3624000</v>
      </c>
    </row>
    <row r="11" spans="1:19">
      <c r="A11" s="440" t="s">
        <v>1036</v>
      </c>
      <c r="B11" s="442"/>
      <c r="C11" s="442"/>
      <c r="D11" s="442">
        <v>1278005.814</v>
      </c>
      <c r="E11" s="442"/>
      <c r="F11" s="442">
        <v>3395948.4699999997</v>
      </c>
      <c r="G11" s="442">
        <v>20608928.222086959</v>
      </c>
      <c r="H11" s="442"/>
      <c r="I11" s="442">
        <v>427725.80000000005</v>
      </c>
      <c r="J11" s="442">
        <v>427725.80000000005</v>
      </c>
      <c r="K11" s="442"/>
      <c r="L11" s="442"/>
      <c r="M11" s="442"/>
      <c r="N11" s="442"/>
      <c r="O11" s="442"/>
      <c r="P11" s="442"/>
      <c r="Q11" s="442"/>
      <c r="R11" s="442"/>
      <c r="S11" s="442">
        <v>26138334.106086962</v>
      </c>
    </row>
    <row r="12" spans="1:19">
      <c r="A12" s="440" t="s">
        <v>1067</v>
      </c>
      <c r="B12" s="442"/>
      <c r="C12" s="442"/>
      <c r="D12" s="442">
        <v>8795079.1459950004</v>
      </c>
      <c r="E12" s="442">
        <v>3034902.4936000002</v>
      </c>
      <c r="F12" s="442">
        <v>3873417.3539999998</v>
      </c>
      <c r="G12" s="442">
        <v>1648130.976</v>
      </c>
      <c r="H12" s="442"/>
      <c r="I12" s="442"/>
      <c r="J12" s="442"/>
      <c r="K12" s="442"/>
      <c r="L12" s="442"/>
      <c r="M12" s="442"/>
      <c r="N12" s="442"/>
      <c r="O12" s="442"/>
      <c r="P12" s="442"/>
      <c r="Q12" s="442"/>
      <c r="R12" s="442"/>
      <c r="S12" s="442">
        <v>17351529.969595</v>
      </c>
    </row>
    <row r="13" spans="1:19">
      <c r="A13" s="440" t="s">
        <v>1100</v>
      </c>
      <c r="B13" s="442"/>
      <c r="C13" s="442"/>
      <c r="D13" s="442"/>
      <c r="E13" s="442"/>
      <c r="F13" s="442">
        <v>6144762.4199999999</v>
      </c>
      <c r="G13" s="442">
        <v>6069774.2378000002</v>
      </c>
      <c r="H13" s="442">
        <v>4188882.8098000004</v>
      </c>
      <c r="I13" s="442">
        <v>1776304.4831999999</v>
      </c>
      <c r="J13" s="442">
        <v>1710292.8908000002</v>
      </c>
      <c r="K13" s="442">
        <v>2371190.7557000001</v>
      </c>
      <c r="L13" s="442">
        <v>937153.3665</v>
      </c>
      <c r="M13" s="442">
        <v>269643.36619999999</v>
      </c>
      <c r="N13" s="442"/>
      <c r="O13" s="442"/>
      <c r="P13" s="442"/>
      <c r="Q13" s="442"/>
      <c r="R13" s="442"/>
      <c r="S13" s="442">
        <v>23468004.330000002</v>
      </c>
    </row>
    <row r="14" spans="1:19">
      <c r="A14" s="440" t="s">
        <v>1136</v>
      </c>
      <c r="B14" s="442"/>
      <c r="C14" s="442"/>
      <c r="D14" s="442">
        <v>2000</v>
      </c>
      <c r="E14" s="442">
        <v>489825</v>
      </c>
      <c r="F14" s="442">
        <v>247800</v>
      </c>
      <c r="G14" s="442">
        <v>892800</v>
      </c>
      <c r="H14" s="442">
        <v>3300</v>
      </c>
      <c r="I14" s="442">
        <v>128300</v>
      </c>
      <c r="J14" s="442">
        <v>3300</v>
      </c>
      <c r="K14" s="442"/>
      <c r="L14" s="442"/>
      <c r="M14" s="442"/>
      <c r="N14" s="442">
        <v>8000</v>
      </c>
      <c r="O14" s="442">
        <v>8000</v>
      </c>
      <c r="P14" s="442">
        <v>8000</v>
      </c>
      <c r="Q14" s="442">
        <v>8000</v>
      </c>
      <c r="R14" s="442"/>
      <c r="S14" s="442">
        <v>1799325</v>
      </c>
    </row>
    <row r="15" spans="1:19">
      <c r="A15" s="440" t="s">
        <v>1166</v>
      </c>
      <c r="B15" s="442"/>
      <c r="C15" s="442"/>
      <c r="D15" s="442">
        <v>603164.6</v>
      </c>
      <c r="E15" s="442">
        <v>24757.599999999999</v>
      </c>
      <c r="F15" s="442">
        <v>75757.600000000006</v>
      </c>
      <c r="G15" s="442">
        <v>75757.600000000006</v>
      </c>
      <c r="H15" s="442">
        <v>57500</v>
      </c>
      <c r="I15" s="442">
        <v>1575757.6</v>
      </c>
      <c r="J15" s="442">
        <v>75757.600000000006</v>
      </c>
      <c r="K15" s="442">
        <v>57500</v>
      </c>
      <c r="L15" s="442"/>
      <c r="M15" s="442">
        <v>57500</v>
      </c>
      <c r="N15" s="442"/>
      <c r="O15" s="442"/>
      <c r="P15" s="442"/>
      <c r="Q15" s="442"/>
      <c r="R15" s="442"/>
      <c r="S15" s="442">
        <v>2603452.6</v>
      </c>
    </row>
    <row r="16" spans="1:19">
      <c r="A16" s="440" t="s">
        <v>1202</v>
      </c>
      <c r="B16" s="442"/>
      <c r="C16" s="442"/>
      <c r="D16" s="442"/>
      <c r="E16" s="442"/>
      <c r="F16" s="442">
        <v>45000</v>
      </c>
      <c r="G16" s="442">
        <v>45000</v>
      </c>
      <c r="H16" s="442">
        <v>3243000</v>
      </c>
      <c r="I16" s="442">
        <v>968726.21398921439</v>
      </c>
      <c r="J16" s="442">
        <v>115000</v>
      </c>
      <c r="K16" s="442">
        <v>115000</v>
      </c>
      <c r="L16" s="442"/>
      <c r="M16" s="442"/>
      <c r="N16" s="442"/>
      <c r="O16" s="442"/>
      <c r="P16" s="442"/>
      <c r="Q16" s="442"/>
      <c r="R16" s="442"/>
      <c r="S16" s="442">
        <v>4531726.213989214</v>
      </c>
    </row>
    <row r="17" spans="1:19">
      <c r="A17" s="440" t="s">
        <v>1219</v>
      </c>
      <c r="B17" s="442"/>
      <c r="C17" s="442"/>
      <c r="D17" s="442">
        <v>64950</v>
      </c>
      <c r="E17" s="442">
        <v>64950</v>
      </c>
      <c r="F17" s="442">
        <v>90950</v>
      </c>
      <c r="G17" s="442">
        <v>64950</v>
      </c>
      <c r="H17" s="442">
        <v>38950</v>
      </c>
      <c r="I17" s="442">
        <v>64950</v>
      </c>
      <c r="J17" s="442">
        <v>64950</v>
      </c>
      <c r="K17" s="442"/>
      <c r="L17" s="442"/>
      <c r="M17" s="442"/>
      <c r="N17" s="442"/>
      <c r="O17" s="442"/>
      <c r="P17" s="442"/>
      <c r="Q17" s="442"/>
      <c r="R17" s="442">
        <v>3150</v>
      </c>
      <c r="S17" s="442">
        <v>457800</v>
      </c>
    </row>
    <row r="18" spans="1:19">
      <c r="A18" s="440" t="s">
        <v>1254</v>
      </c>
      <c r="B18" s="442"/>
      <c r="C18" s="442"/>
      <c r="D18" s="442">
        <v>331616.49</v>
      </c>
      <c r="E18" s="442">
        <v>221934</v>
      </c>
      <c r="F18" s="442">
        <v>178241.37</v>
      </c>
      <c r="G18" s="442">
        <v>145837.76000000001</v>
      </c>
      <c r="H18" s="442">
        <v>3040241.2243127683</v>
      </c>
      <c r="I18" s="442">
        <v>103599.12</v>
      </c>
      <c r="J18" s="442">
        <v>67693.119999999995</v>
      </c>
      <c r="K18" s="442"/>
      <c r="L18" s="442"/>
      <c r="M18" s="442"/>
      <c r="N18" s="442"/>
      <c r="O18" s="442"/>
      <c r="P18" s="442"/>
      <c r="Q18" s="442"/>
      <c r="R18" s="442"/>
      <c r="S18" s="442">
        <v>4089163.0843127687</v>
      </c>
    </row>
    <row r="19" spans="1:19">
      <c r="A19" s="440" t="s">
        <v>1062</v>
      </c>
      <c r="B19" s="442"/>
      <c r="C19" s="442"/>
      <c r="D19" s="442"/>
      <c r="E19" s="442"/>
      <c r="F19" s="442"/>
      <c r="G19" s="442"/>
      <c r="H19" s="442"/>
      <c r="I19" s="442"/>
      <c r="J19" s="442"/>
      <c r="K19" s="442">
        <v>650000</v>
      </c>
      <c r="L19" s="442"/>
      <c r="M19" s="442"/>
      <c r="N19" s="442"/>
      <c r="O19" s="442"/>
      <c r="P19" s="442"/>
      <c r="Q19" s="442"/>
      <c r="R19" s="442"/>
      <c r="S19" s="442">
        <v>650000</v>
      </c>
    </row>
    <row r="20" spans="1:19">
      <c r="A20" s="440" t="s">
        <v>1199</v>
      </c>
      <c r="B20" s="442"/>
      <c r="C20" s="442"/>
      <c r="D20" s="442"/>
      <c r="E20" s="442"/>
      <c r="F20" s="442"/>
      <c r="G20" s="442"/>
      <c r="H20" s="442"/>
      <c r="I20" s="442"/>
      <c r="J20" s="442"/>
      <c r="K20" s="442"/>
      <c r="L20" s="442"/>
      <c r="M20" s="442"/>
      <c r="N20" s="442"/>
      <c r="O20" s="442"/>
      <c r="P20" s="442"/>
      <c r="Q20" s="442"/>
      <c r="R20" s="442"/>
      <c r="S20" s="442"/>
    </row>
    <row r="21" spans="1:19">
      <c r="A21" s="440" t="s">
        <v>1317</v>
      </c>
      <c r="B21" s="442"/>
      <c r="C21" s="442"/>
      <c r="D21" s="442">
        <v>14038938.976073202</v>
      </c>
      <c r="E21" s="442">
        <v>3836369.0936000003</v>
      </c>
      <c r="F21" s="442">
        <v>55435828.824525058</v>
      </c>
      <c r="G21" s="442">
        <v>36317679.437412016</v>
      </c>
      <c r="H21" s="442">
        <v>11494736.03411277</v>
      </c>
      <c r="I21" s="442">
        <v>9701312.6326549016</v>
      </c>
      <c r="J21" s="442">
        <v>7782247.4107999997</v>
      </c>
      <c r="K21" s="442">
        <v>3288910.7557000001</v>
      </c>
      <c r="L21" s="442">
        <v>937153.3665</v>
      </c>
      <c r="M21" s="442">
        <v>327143.36619999999</v>
      </c>
      <c r="N21" s="442">
        <v>8000</v>
      </c>
      <c r="O21" s="442">
        <v>8000</v>
      </c>
      <c r="P21" s="442">
        <v>8000</v>
      </c>
      <c r="Q21" s="442">
        <v>8000</v>
      </c>
      <c r="R21" s="442">
        <v>3150</v>
      </c>
      <c r="S21" s="442">
        <v>143195469.89757794</v>
      </c>
    </row>
    <row r="22" spans="1:19">
      <c r="B22"/>
      <c r="C22"/>
      <c r="D22"/>
      <c r="E22"/>
      <c r="F22"/>
      <c r="G22"/>
      <c r="H22"/>
      <c r="I22"/>
    </row>
    <row r="23" spans="1:19">
      <c r="B23"/>
      <c r="C23"/>
      <c r="D23"/>
      <c r="E23"/>
      <c r="F23" s="442">
        <f>SUM(C21:D21)</f>
        <v>14038938.976073202</v>
      </c>
      <c r="G23"/>
      <c r="H23"/>
      <c r="I23"/>
    </row>
    <row r="24" spans="1:19">
      <c r="B24"/>
      <c r="C24"/>
      <c r="D24"/>
      <c r="E24"/>
      <c r="F24" s="361">
        <f>'Finance - Revenue'!C24</f>
        <v>3231571.5455912631</v>
      </c>
      <c r="G24"/>
      <c r="H24"/>
      <c r="I24"/>
    </row>
    <row r="25" spans="1:19">
      <c r="B25"/>
      <c r="C25"/>
      <c r="D25"/>
      <c r="E25"/>
      <c r="F25"/>
      <c r="G25"/>
      <c r="H25"/>
      <c r="I25"/>
    </row>
    <row r="26" spans="1:19">
      <c r="F26" s="400">
        <f>F24-F23</f>
        <v>-10807367.430481939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1319</v>
      </c>
    </row>
    <row r="2" spans="1:4">
      <c r="A2" s="1019"/>
      <c r="B2" s="1019"/>
      <c r="C2" s="1019"/>
      <c r="D2" s="71"/>
    </row>
    <row r="3" spans="1:4">
      <c r="A3" s="1018" t="s">
        <v>1320</v>
      </c>
      <c r="B3" s="1018"/>
      <c r="C3" s="1018"/>
      <c r="D3" s="110">
        <v>0.32</v>
      </c>
    </row>
    <row r="4" spans="1:4">
      <c r="A4" s="1018" t="s">
        <v>1281</v>
      </c>
      <c r="B4" s="1018"/>
      <c r="C4" s="1018"/>
      <c r="D4" s="110">
        <v>0.5</v>
      </c>
    </row>
    <row r="5" spans="1:4">
      <c r="A5" s="1018" t="s">
        <v>1292</v>
      </c>
      <c r="B5" s="1018"/>
      <c r="C5" s="1018"/>
      <c r="D5" s="110">
        <v>0.15</v>
      </c>
    </row>
    <row r="6" spans="1:4">
      <c r="A6" s="1018" t="s">
        <v>1321</v>
      </c>
      <c r="B6" s="1018"/>
      <c r="C6" s="1018"/>
      <c r="D6" s="110">
        <v>0.2</v>
      </c>
    </row>
  </sheetData>
  <mergeCells count="5">
    <mergeCell ref="A3:C3"/>
    <mergeCell ref="A4:C4"/>
    <mergeCell ref="A5:C5"/>
    <mergeCell ref="A6:C6"/>
    <mergeCell ref="A2:C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1020" t="s">
        <v>1322</v>
      </c>
      <c r="C2" s="1020"/>
      <c r="D2" s="1020"/>
      <c r="E2" s="1020"/>
      <c r="F2" s="1020"/>
      <c r="G2" s="1020"/>
      <c r="H2" s="1020"/>
      <c r="I2" s="1020"/>
      <c r="J2" s="1020"/>
      <c r="K2" s="1020"/>
      <c r="L2" s="1020"/>
      <c r="M2" s="1020"/>
      <c r="N2" s="1020"/>
    </row>
    <row r="4" spans="2:14" ht="13">
      <c r="B4" s="91" t="s">
        <v>284</v>
      </c>
      <c r="C4" s="85"/>
      <c r="D4" s="89" t="s">
        <v>1294</v>
      </c>
      <c r="E4" s="94"/>
      <c r="F4" s="89" t="s">
        <v>1323</v>
      </c>
      <c r="H4" s="89" t="s">
        <v>1324</v>
      </c>
      <c r="I4" s="94"/>
      <c r="J4" s="89" t="s">
        <v>1325</v>
      </c>
      <c r="L4" s="89" t="s">
        <v>1324</v>
      </c>
      <c r="M4" s="89"/>
      <c r="N4" s="89" t="s">
        <v>1326</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1327</v>
      </c>
      <c r="H7" s="98"/>
      <c r="I7" s="94"/>
      <c r="J7" s="106" t="s">
        <v>1327</v>
      </c>
      <c r="L7" s="98"/>
      <c r="M7" s="98"/>
    </row>
    <row r="8" spans="2:14" ht="6" customHeight="1">
      <c r="B8" s="85"/>
      <c r="C8" s="85"/>
      <c r="D8" s="88"/>
      <c r="E8" s="94"/>
      <c r="F8" s="88"/>
      <c r="H8" s="98"/>
      <c r="I8" s="94"/>
      <c r="J8" s="88"/>
      <c r="L8" s="98"/>
      <c r="M8" s="98"/>
    </row>
    <row r="9" spans="2:14" s="104" customFormat="1" ht="13">
      <c r="B9" s="91" t="s">
        <v>975</v>
      </c>
      <c r="C9" s="91"/>
      <c r="D9" s="89" t="e">
        <f>SUM(D10:D11)</f>
        <v>#REF!</v>
      </c>
      <c r="E9" s="94"/>
      <c r="F9" s="89">
        <f>SUM(F10:F13)</f>
        <v>0</v>
      </c>
      <c r="H9" s="105" t="e">
        <f>$D$9-F9</f>
        <v>#REF!</v>
      </c>
      <c r="I9" s="94"/>
      <c r="J9" s="89">
        <f>SUM(J10:J13)</f>
        <v>0</v>
      </c>
      <c r="L9" s="105" t="e">
        <f>$D$9-J9</f>
        <v>#REF!</v>
      </c>
      <c r="M9" s="105"/>
    </row>
    <row r="10" spans="2:14" ht="13">
      <c r="B10" s="107" t="s">
        <v>975</v>
      </c>
      <c r="C10" s="85"/>
      <c r="D10" s="88" t="e">
        <f>#REF!</f>
        <v>#REF!</v>
      </c>
      <c r="E10" s="94"/>
      <c r="F10" s="88"/>
      <c r="H10" s="98"/>
      <c r="I10" s="94"/>
      <c r="J10" s="88"/>
      <c r="L10" s="98"/>
      <c r="M10" s="98"/>
    </row>
    <row r="11" spans="2:14" ht="13">
      <c r="B11" s="107" t="s">
        <v>1328</v>
      </c>
      <c r="C11" s="85"/>
      <c r="D11" s="88" t="e">
        <f>#REF!</f>
        <v>#REF!</v>
      </c>
      <c r="E11" s="94"/>
      <c r="F11" s="88"/>
      <c r="H11" s="98"/>
      <c r="I11" s="94"/>
      <c r="J11" s="88"/>
      <c r="L11" s="98"/>
      <c r="M11" s="98"/>
    </row>
    <row r="12" spans="2:14" ht="13">
      <c r="B12" s="107" t="s">
        <v>1329</v>
      </c>
      <c r="C12" s="85"/>
      <c r="D12" s="88"/>
      <c r="E12" s="94"/>
      <c r="F12" s="88"/>
      <c r="H12" s="98"/>
      <c r="I12" s="94"/>
      <c r="J12" s="88"/>
      <c r="L12" s="98"/>
      <c r="M12" s="98"/>
    </row>
    <row r="13" spans="2:14" ht="13">
      <c r="B13" s="107" t="s">
        <v>1330</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1327</v>
      </c>
      <c r="H15" s="98"/>
      <c r="I15" s="94"/>
      <c r="J15" s="106" t="s">
        <v>1327</v>
      </c>
      <c r="L15" s="98"/>
      <c r="M15" s="98"/>
    </row>
    <row r="16" spans="2:14" ht="6" customHeight="1">
      <c r="B16" s="85"/>
      <c r="C16" s="85"/>
      <c r="D16" s="88"/>
      <c r="E16" s="94"/>
      <c r="F16" s="88"/>
      <c r="H16" s="98"/>
      <c r="I16" s="94"/>
      <c r="J16" s="88"/>
      <c r="L16" s="98"/>
      <c r="M16" s="98"/>
    </row>
    <row r="17" spans="2:13" s="104" customFormat="1" ht="13">
      <c r="B17" s="91" t="s">
        <v>1331</v>
      </c>
      <c r="C17" s="91"/>
      <c r="D17" s="89" t="e">
        <f>SUM(D18:D19)</f>
        <v>#REF!</v>
      </c>
      <c r="E17" s="94"/>
      <c r="F17" s="89">
        <f>SUM(F18:F20)</f>
        <v>0</v>
      </c>
      <c r="H17" s="105" t="e">
        <f>$D$17- F17</f>
        <v>#REF!</v>
      </c>
      <c r="I17" s="94"/>
      <c r="J17" s="89">
        <f>SUM(J18:J20)</f>
        <v>0</v>
      </c>
      <c r="L17" s="105" t="e">
        <f>$D$17- J17</f>
        <v>#REF!</v>
      </c>
      <c r="M17" s="105"/>
    </row>
    <row r="18" spans="2:13">
      <c r="B18" s="107" t="s">
        <v>1331</v>
      </c>
      <c r="C18" s="85"/>
      <c r="D18" s="88" t="e">
        <f>#REF!</f>
        <v>#REF!</v>
      </c>
      <c r="E18" s="97"/>
      <c r="F18" s="88"/>
      <c r="H18" s="98"/>
      <c r="I18" s="97"/>
      <c r="J18" s="88"/>
      <c r="L18" s="98"/>
      <c r="M18" s="98"/>
    </row>
    <row r="19" spans="2:13">
      <c r="B19" s="107" t="s">
        <v>1330</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1327</v>
      </c>
      <c r="H21" s="98"/>
      <c r="I21" s="94"/>
      <c r="J21" s="106" t="s">
        <v>1327</v>
      </c>
      <c r="L21" s="98"/>
      <c r="M21" s="98"/>
    </row>
    <row r="22" spans="2:13" ht="6" customHeight="1">
      <c r="B22" s="85"/>
      <c r="C22" s="85"/>
      <c r="D22" s="88"/>
      <c r="E22" s="94"/>
      <c r="F22" s="88"/>
      <c r="H22" s="98"/>
      <c r="I22" s="94"/>
      <c r="J22" s="88"/>
      <c r="L22" s="98"/>
      <c r="M22" s="98"/>
    </row>
    <row r="23" spans="2:13" s="104" customFormat="1" ht="13">
      <c r="B23" s="91" t="s">
        <v>1332</v>
      </c>
      <c r="C23" s="91"/>
      <c r="D23" s="89" t="e">
        <f>SUM(D24:D25)</f>
        <v>#REF!</v>
      </c>
      <c r="E23" s="94"/>
      <c r="F23" s="89">
        <f>SUM(F24:F25)</f>
        <v>0</v>
      </c>
      <c r="H23" s="105" t="e">
        <f>$D$23- F23</f>
        <v>#REF!</v>
      </c>
      <c r="I23" s="94"/>
      <c r="J23" s="89">
        <f>SUM(J24:J25)</f>
        <v>0</v>
      </c>
      <c r="L23" s="105" t="e">
        <f>$D$23- J23</f>
        <v>#REF!</v>
      </c>
      <c r="M23" s="105"/>
    </row>
    <row r="24" spans="2:13">
      <c r="B24" s="107" t="s">
        <v>1332</v>
      </c>
      <c r="C24" s="85"/>
      <c r="D24" s="88" t="e">
        <f>#REF!</f>
        <v>#REF!</v>
      </c>
      <c r="E24" s="97"/>
      <c r="F24" s="88"/>
      <c r="H24" s="98"/>
      <c r="I24" s="97"/>
      <c r="J24" s="88"/>
      <c r="L24" s="98"/>
      <c r="M24" s="98"/>
    </row>
    <row r="25" spans="2:13" s="104" customFormat="1" ht="13">
      <c r="B25" s="107" t="s">
        <v>1330</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1327</v>
      </c>
      <c r="H27" s="98"/>
      <c r="I27" s="94"/>
      <c r="J27" s="106" t="s">
        <v>1327</v>
      </c>
      <c r="L27" s="98"/>
      <c r="M27" s="98"/>
    </row>
    <row r="28" spans="2:13" ht="6" customHeight="1">
      <c r="B28" s="85"/>
      <c r="C28" s="85"/>
      <c r="D28" s="88"/>
      <c r="E28" s="94"/>
      <c r="F28" s="88"/>
      <c r="H28" s="98"/>
      <c r="I28" s="94"/>
      <c r="J28" s="88"/>
      <c r="L28" s="98"/>
      <c r="M28" s="98"/>
    </row>
    <row r="29" spans="2:13" s="104" customFormat="1" ht="13">
      <c r="B29" s="91" t="s">
        <v>1333</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1330</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1327</v>
      </c>
      <c r="H34" s="98"/>
      <c r="I34" s="94"/>
      <c r="J34" s="106" t="s">
        <v>1327</v>
      </c>
      <c r="L34" s="98"/>
      <c r="M34" s="98"/>
    </row>
    <row r="35" spans="2:13" ht="13">
      <c r="B35" s="85"/>
      <c r="C35" s="85"/>
      <c r="D35" s="88"/>
      <c r="E35" s="94"/>
      <c r="F35" s="88"/>
      <c r="H35" s="98"/>
      <c r="I35" s="94"/>
      <c r="J35" s="88"/>
      <c r="L35" s="98"/>
      <c r="M35" s="98"/>
    </row>
    <row r="36" spans="2:13" s="104" customFormat="1" ht="13">
      <c r="B36" s="91" t="s">
        <v>1334</v>
      </c>
      <c r="C36" s="91"/>
      <c r="D36" s="89" t="e">
        <f>SUM(D37:D41)</f>
        <v>#REF!</v>
      </c>
      <c r="E36" s="94"/>
      <c r="F36" s="89">
        <f>SUM(F37:F41)</f>
        <v>0</v>
      </c>
      <c r="H36" s="105" t="e">
        <f>$D$29-F36</f>
        <v>#REF!</v>
      </c>
      <c r="I36" s="94"/>
      <c r="J36" s="89">
        <f>SUM(J37:J41)</f>
        <v>0</v>
      </c>
      <c r="L36" s="105" t="e">
        <f>$D$29-J36</f>
        <v>#REF!</v>
      </c>
      <c r="M36" s="105"/>
    </row>
    <row r="37" spans="2:13">
      <c r="B37" s="107" t="s">
        <v>1335</v>
      </c>
      <c r="C37" s="85"/>
      <c r="D37" s="88" t="e">
        <f>#REF!</f>
        <v>#REF!</v>
      </c>
      <c r="E37" s="97"/>
      <c r="F37" s="88"/>
      <c r="H37" s="98"/>
      <c r="I37" s="97"/>
      <c r="J37" s="88"/>
      <c r="L37" s="98"/>
      <c r="M37" s="98"/>
    </row>
    <row r="38" spans="2:13">
      <c r="B38" s="107" t="s">
        <v>1336</v>
      </c>
      <c r="C38" s="85"/>
      <c r="D38" s="88"/>
      <c r="E38" s="97"/>
      <c r="F38" s="88"/>
      <c r="H38" s="98"/>
      <c r="I38" s="97"/>
      <c r="J38" s="88"/>
      <c r="L38" s="98"/>
      <c r="M38" s="98"/>
    </row>
    <row r="39" spans="2:13">
      <c r="B39" s="107" t="s">
        <v>1337</v>
      </c>
      <c r="C39" s="85"/>
      <c r="D39" s="88"/>
      <c r="E39" s="97"/>
      <c r="F39" s="88"/>
      <c r="H39" s="98"/>
      <c r="I39" s="97"/>
      <c r="J39" s="88"/>
      <c r="L39" s="98"/>
      <c r="M39" s="98"/>
    </row>
    <row r="40" spans="2:13">
      <c r="B40" s="107" t="s">
        <v>1338</v>
      </c>
      <c r="C40" s="85"/>
      <c r="D40" s="88"/>
      <c r="E40" s="97"/>
      <c r="F40" s="88"/>
      <c r="H40" s="98"/>
      <c r="I40" s="97"/>
      <c r="J40" s="88"/>
      <c r="L40" s="98"/>
      <c r="M40" s="98"/>
    </row>
    <row r="41" spans="2:13">
      <c r="B41" s="107" t="s">
        <v>1339</v>
      </c>
      <c r="C41" s="85"/>
      <c r="D41" s="88"/>
      <c r="E41" s="97"/>
      <c r="F41" s="88"/>
      <c r="H41" s="98"/>
      <c r="I41" s="97"/>
      <c r="J41" s="88"/>
      <c r="L41" s="98"/>
      <c r="M41" s="98"/>
    </row>
    <row r="42" spans="2:13" ht="13">
      <c r="B42" s="99"/>
      <c r="C42" s="85"/>
      <c r="D42" s="96"/>
      <c r="E42" s="97"/>
      <c r="F42" s="96"/>
      <c r="I42" s="97"/>
      <c r="J42" s="96"/>
    </row>
    <row r="43" spans="2:13" ht="13">
      <c r="B43" s="91" t="s">
        <v>1340</v>
      </c>
      <c r="C43" s="91"/>
      <c r="D43" s="89" t="e">
        <f>D36+D29+D23+D17+D9</f>
        <v>#REF!</v>
      </c>
      <c r="E43" s="94"/>
      <c r="F43" s="89"/>
      <c r="H43" s="100" t="e">
        <f>SUM(H7:H42)</f>
        <v>#REF!</v>
      </c>
      <c r="I43" s="94"/>
      <c r="J43" s="89"/>
      <c r="L43" s="100" t="e">
        <f>SUM(L7:L42)</f>
        <v>#REF!</v>
      </c>
      <c r="M43" s="89"/>
    </row>
    <row r="47" spans="2:13">
      <c r="B47" s="85" t="s">
        <v>1341</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1020" t="s">
        <v>1342</v>
      </c>
      <c r="C2" s="1020"/>
      <c r="D2" s="1020"/>
      <c r="E2" s="1020"/>
      <c r="F2" s="1020"/>
      <c r="G2" s="1020"/>
      <c r="H2" s="1020"/>
      <c r="I2" s="1020"/>
      <c r="J2" s="1020"/>
      <c r="K2" s="1020"/>
      <c r="L2" s="1020"/>
      <c r="M2" s="1020"/>
      <c r="N2" s="1020"/>
      <c r="O2" s="1020"/>
    </row>
    <row r="4" spans="2:15" ht="13">
      <c r="B4" s="91" t="s">
        <v>284</v>
      </c>
      <c r="C4" s="85"/>
      <c r="D4" s="89" t="s">
        <v>1294</v>
      </c>
      <c r="E4" s="94"/>
      <c r="F4" s="94"/>
      <c r="G4" s="89" t="s">
        <v>1343</v>
      </c>
      <c r="H4" s="95"/>
      <c r="J4" s="89" t="s">
        <v>1324</v>
      </c>
      <c r="L4" s="89" t="s">
        <v>1344</v>
      </c>
      <c r="M4" s="95"/>
      <c r="O4" s="89" t="s">
        <v>1324</v>
      </c>
    </row>
    <row r="5" spans="2:15" ht="5.25" customHeight="1">
      <c r="B5" s="96"/>
      <c r="C5" s="85"/>
      <c r="D5" s="96"/>
      <c r="E5" s="97"/>
      <c r="F5" s="97"/>
      <c r="G5" s="96"/>
      <c r="H5" s="86"/>
      <c r="J5" s="96"/>
      <c r="L5" s="96"/>
      <c r="M5" s="86"/>
      <c r="O5" s="96"/>
    </row>
    <row r="6" spans="2:15" ht="13">
      <c r="B6" s="85" t="s">
        <v>1034</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1008</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1345</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1346</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1135</v>
      </c>
      <c r="C10" s="85"/>
      <c r="D10" s="88" t="e">
        <f>#REF!</f>
        <v>#REF!</v>
      </c>
      <c r="E10" s="97"/>
      <c r="F10" s="97"/>
      <c r="G10" s="88">
        <v>0</v>
      </c>
      <c r="H10" s="90"/>
      <c r="J10" s="98" t="e">
        <f t="shared" si="0"/>
        <v>#REF!</v>
      </c>
      <c r="L10" s="88"/>
      <c r="M10" s="90"/>
      <c r="O10" s="98" t="e">
        <f t="shared" si="1"/>
        <v>#REF!</v>
      </c>
    </row>
    <row r="11" spans="2:15">
      <c r="B11" s="85" t="s">
        <v>1347</v>
      </c>
      <c r="C11" s="85"/>
      <c r="D11" s="88" t="e">
        <f>#REF!</f>
        <v>#REF!</v>
      </c>
      <c r="E11" s="97"/>
      <c r="F11" s="97"/>
      <c r="G11" s="88">
        <v>29257.61</v>
      </c>
      <c r="H11" s="90"/>
      <c r="J11" s="98" t="e">
        <f t="shared" si="0"/>
        <v>#REF!</v>
      </c>
      <c r="L11" s="88"/>
      <c r="M11" s="90"/>
      <c r="O11" s="98" t="e">
        <f t="shared" si="1"/>
        <v>#REF!</v>
      </c>
    </row>
    <row r="12" spans="2:15">
      <c r="B12" s="85" t="s">
        <v>1348</v>
      </c>
      <c r="C12" s="85"/>
      <c r="D12" s="88" t="e">
        <f>#REF!</f>
        <v>#REF!</v>
      </c>
      <c r="E12" s="97"/>
      <c r="F12" s="97"/>
      <c r="G12" s="88"/>
      <c r="H12" s="90"/>
      <c r="J12" s="98" t="e">
        <f t="shared" si="0"/>
        <v>#REF!</v>
      </c>
      <c r="L12" s="88"/>
      <c r="M12" s="90"/>
      <c r="O12" s="98" t="e">
        <f t="shared" si="1"/>
        <v>#REF!</v>
      </c>
    </row>
    <row r="13" spans="2:15">
      <c r="B13" s="85" t="s">
        <v>1349</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1340</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1294</v>
      </c>
      <c r="E18" s="94"/>
      <c r="F18" s="94"/>
      <c r="G18" s="89" t="s">
        <v>1350</v>
      </c>
      <c r="H18" s="95"/>
      <c r="J18" s="89" t="s">
        <v>1324</v>
      </c>
      <c r="L18" s="89" t="s">
        <v>1351</v>
      </c>
      <c r="M18" s="95"/>
      <c r="O18" s="89" t="s">
        <v>1324</v>
      </c>
    </row>
    <row r="19" spans="2:15" ht="7.5" customHeight="1">
      <c r="B19" s="96"/>
      <c r="C19" s="85"/>
      <c r="D19" s="96"/>
      <c r="E19" s="97"/>
      <c r="F19" s="97"/>
      <c r="G19" s="96"/>
      <c r="H19" s="86"/>
      <c r="J19" s="96"/>
      <c r="L19" s="96"/>
      <c r="M19" s="86"/>
      <c r="O19" s="96"/>
    </row>
    <row r="20" spans="2:15" ht="13">
      <c r="B20" s="85" t="s">
        <v>1352</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1353</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1354</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1355</v>
      </c>
      <c r="C23" s="85"/>
      <c r="D23" s="88" t="e">
        <f>SUM(#REF!)</f>
        <v>#REF!</v>
      </c>
      <c r="E23" s="94" t="e">
        <f>D23/(1000*#REF!)</f>
        <v>#REF!</v>
      </c>
      <c r="F23" s="94"/>
      <c r="G23" s="88"/>
      <c r="H23" s="95"/>
      <c r="J23" s="98" t="e">
        <f t="shared" si="2"/>
        <v>#REF!</v>
      </c>
      <c r="L23" s="88"/>
      <c r="M23" s="95"/>
      <c r="O23" s="98" t="e">
        <f t="shared" si="3"/>
        <v>#REF!</v>
      </c>
    </row>
    <row r="24" spans="2:15">
      <c r="B24" s="85" t="s">
        <v>1348</v>
      </c>
      <c r="C24" s="85"/>
      <c r="D24" s="88" t="e">
        <f>#REF!</f>
        <v>#REF!</v>
      </c>
      <c r="E24" s="97"/>
      <c r="F24" s="97"/>
      <c r="G24" s="88"/>
      <c r="H24" s="90"/>
      <c r="J24" s="98" t="e">
        <f t="shared" si="2"/>
        <v>#REF!</v>
      </c>
      <c r="L24" s="88"/>
      <c r="M24" s="90"/>
      <c r="O24" s="98" t="e">
        <f t="shared" si="3"/>
        <v>#REF!</v>
      </c>
    </row>
    <row r="25" spans="2:15">
      <c r="B25" s="85" t="s">
        <v>1356</v>
      </c>
      <c r="C25" s="85"/>
      <c r="D25" s="88" t="e">
        <f>SUM(#REF!)</f>
        <v>#REF!</v>
      </c>
      <c r="E25" s="97"/>
      <c r="F25" s="97"/>
      <c r="G25" s="88"/>
      <c r="H25" s="90"/>
      <c r="J25" s="98" t="e">
        <f t="shared" si="2"/>
        <v>#REF!</v>
      </c>
      <c r="L25" s="88"/>
      <c r="M25" s="90"/>
      <c r="O25" s="98" t="e">
        <f t="shared" si="3"/>
        <v>#REF!</v>
      </c>
    </row>
    <row r="26" spans="2:15">
      <c r="B26" s="85" t="s">
        <v>1135</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1340</v>
      </c>
      <c r="C29" s="91"/>
      <c r="D29" s="89" t="e">
        <f>SUM(D20:D27)</f>
        <v>#REF!</v>
      </c>
      <c r="E29" s="94"/>
      <c r="F29" s="94"/>
      <c r="G29" s="89">
        <f>SUM(G20:G27)</f>
        <v>0</v>
      </c>
      <c r="H29" s="95"/>
      <c r="J29" s="100" t="e">
        <f>SUM(J20:J28)</f>
        <v>#REF!</v>
      </c>
      <c r="L29" s="89">
        <f>SUM(L20:L27)</f>
        <v>0</v>
      </c>
      <c r="M29" s="95"/>
      <c r="O29" s="100" t="e">
        <f>SUM(O20:O28)</f>
        <v>#REF!</v>
      </c>
    </row>
    <row r="32" spans="2:15" ht="13.5" thickBot="1">
      <c r="B32" s="101" t="s">
        <v>1357</v>
      </c>
      <c r="C32" s="102"/>
      <c r="D32" s="102"/>
    </row>
    <row r="33" spans="2:4" ht="13" thickTop="1"/>
    <row r="34" spans="2:4">
      <c r="B34" s="87" t="s">
        <v>1294</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1358</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1022" t="e">
        <f>D15</f>
        <v>#REF!</v>
      </c>
      <c r="C1" s="1022"/>
      <c r="D1" s="1022"/>
      <c r="E1" s="1021" t="s">
        <v>1359</v>
      </c>
      <c r="F1" s="1021"/>
      <c r="G1" s="1021"/>
      <c r="H1" s="1021"/>
      <c r="I1" s="1021"/>
      <c r="J1" s="1021"/>
      <c r="K1" s="77"/>
      <c r="L1" s="77"/>
      <c r="M1" s="77"/>
      <c r="N1" s="77"/>
    </row>
    <row r="2" spans="2:14" ht="6.75" customHeight="1"/>
    <row r="3" spans="2:14">
      <c r="B3" s="72" t="s">
        <v>113</v>
      </c>
      <c r="C3" s="72" t="s">
        <v>1360</v>
      </c>
      <c r="D3" s="72" t="s">
        <v>1361</v>
      </c>
      <c r="E3" s="78" t="s">
        <v>1362</v>
      </c>
      <c r="F3" s="78" t="s">
        <v>1363</v>
      </c>
      <c r="G3" s="78" t="s">
        <v>90</v>
      </c>
      <c r="H3" s="78" t="s">
        <v>91</v>
      </c>
      <c r="I3" s="78" t="s">
        <v>84</v>
      </c>
      <c r="J3" s="78" t="s">
        <v>92</v>
      </c>
    </row>
    <row r="4" spans="2:14">
      <c r="B4" s="76" t="s">
        <v>1364</v>
      </c>
      <c r="C4" s="74"/>
      <c r="D4" s="74"/>
      <c r="E4" s="74"/>
      <c r="F4" s="74"/>
      <c r="G4" s="76"/>
      <c r="H4" s="76"/>
      <c r="I4" s="76"/>
      <c r="J4" s="71"/>
    </row>
    <row r="5" spans="2:14">
      <c r="B5" s="76" t="s">
        <v>1365</v>
      </c>
      <c r="C5" s="74"/>
      <c r="D5" s="74"/>
      <c r="E5" s="74"/>
      <c r="F5" s="74"/>
      <c r="G5" s="76"/>
      <c r="H5" s="76"/>
      <c r="I5" s="76"/>
      <c r="J5" s="71"/>
    </row>
    <row r="6" spans="2:14">
      <c r="B6" s="76" t="s">
        <v>1366</v>
      </c>
      <c r="C6" s="74"/>
      <c r="D6" s="74"/>
      <c r="E6" s="74"/>
      <c r="F6" s="74"/>
      <c r="G6" s="76"/>
      <c r="H6" s="76"/>
      <c r="I6" s="76"/>
      <c r="J6" s="71"/>
    </row>
    <row r="7" spans="2:14">
      <c r="B7" s="76" t="s">
        <v>1367</v>
      </c>
      <c r="C7" s="74"/>
      <c r="D7" s="74"/>
      <c r="E7" s="74"/>
      <c r="F7" s="74"/>
      <c r="G7" s="76"/>
      <c r="H7" s="76"/>
      <c r="I7" s="76"/>
      <c r="J7" s="71"/>
    </row>
    <row r="8" spans="2:14">
      <c r="B8" s="76" t="s">
        <v>1368</v>
      </c>
      <c r="C8" s="75"/>
      <c r="D8" s="75"/>
      <c r="E8" s="75"/>
      <c r="F8" s="75"/>
      <c r="G8" s="75"/>
      <c r="H8" s="75"/>
      <c r="I8" s="75"/>
      <c r="J8" s="71"/>
    </row>
    <row r="9" spans="2:14">
      <c r="B9" s="76" t="s">
        <v>1369</v>
      </c>
      <c r="C9" s="75"/>
      <c r="D9" s="75"/>
      <c r="E9" s="75"/>
      <c r="F9" s="75"/>
      <c r="G9" s="75"/>
      <c r="H9" s="75"/>
      <c r="I9" s="75"/>
      <c r="J9" s="71"/>
    </row>
    <row r="10" spans="2:14">
      <c r="B10" s="76" t="s">
        <v>1370</v>
      </c>
      <c r="C10" s="75"/>
      <c r="D10" s="75"/>
      <c r="E10" s="75"/>
      <c r="F10" s="75"/>
      <c r="G10" s="75"/>
      <c r="H10" s="75"/>
      <c r="I10" s="75"/>
      <c r="J10" s="71"/>
    </row>
    <row r="11" spans="2:14">
      <c r="B11" s="76" t="s">
        <v>1371</v>
      </c>
      <c r="C11" s="75"/>
      <c r="D11" s="75"/>
      <c r="E11" s="75"/>
      <c r="F11" s="75"/>
      <c r="G11" s="75"/>
      <c r="H11" s="75"/>
      <c r="I11" s="75"/>
      <c r="J11" s="71"/>
    </row>
    <row r="12" spans="2:14">
      <c r="B12" s="76" t="s">
        <v>1372</v>
      </c>
      <c r="C12" s="75"/>
      <c r="D12" s="75"/>
      <c r="E12" s="75"/>
      <c r="F12" s="75"/>
      <c r="G12" s="75"/>
      <c r="H12" s="75"/>
      <c r="I12" s="75"/>
      <c r="J12" s="71"/>
    </row>
    <row r="13" spans="2:14">
      <c r="B13" s="76" t="s">
        <v>1373</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Props1.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96D8D9F-A71B-48E1-9A82-1FF17E3012C0}">
  <ds:schemaRefs>
    <ds:schemaRef ds:uri="http://schemas.microsoft.com/sharepoint/v3/contenttype/forms"/>
  </ds:schemaRefs>
</ds:datastoreItem>
</file>

<file path=customXml/itemProps3.xml><?xml version="1.0" encoding="utf-8"?>
<ds:datastoreItem xmlns:ds="http://schemas.openxmlformats.org/officeDocument/2006/customXml" ds:itemID="{A088B6EC-AA67-4846-869D-E07A6DA6BBC3}">
  <ds:schemaRefs>
    <ds:schemaRef ds:uri="ab964f2b-203c-4425-a556-91316bb05fea"/>
    <ds:schemaRef ds:uri="http://www.w3.org/XML/1998/namespace"/>
    <ds:schemaRef ds:uri="http://schemas.microsoft.com/office/2006/metadata/properties"/>
    <ds:schemaRef ds:uri="http://schemas.microsoft.com/office/infopath/2007/PartnerControls"/>
    <ds:schemaRef ds:uri="9acfecf2-4047-4d7b-9ec8-592b51a52bf7"/>
    <ds:schemaRef ds:uri="http://purl.org/dc/dcmitype/"/>
    <ds:schemaRef ds:uri="http://purl.org/dc/elements/1.1/"/>
    <ds:schemaRef ds:uri="http://schemas.microsoft.com/office/2006/documentManagement/types"/>
    <ds:schemaRef ds:uri="http://schemas.openxmlformats.org/package/2006/metadata/core-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26</vt:i4>
      </vt:variant>
      <vt:variant>
        <vt:lpstr>Charts</vt:lpstr>
      </vt:variant>
      <vt:variant>
        <vt:i4>1</vt:i4>
      </vt:variant>
      <vt:variant>
        <vt:lpstr>Named Ranges</vt:lpstr>
      </vt:variant>
      <vt:variant>
        <vt:i4>10</vt:i4>
      </vt:variant>
    </vt:vector>
  </HeadingPairs>
  <TitlesOfParts>
    <vt:vector size="37" baseType="lpstr">
      <vt:lpstr>Sheet1</vt:lpstr>
      <vt:lpstr>Certificate - Financial Close</vt:lpstr>
      <vt:lpstr>Compliance</vt:lpstr>
      <vt:lpstr>Task Register</vt:lpstr>
      <vt:lpstr>BOQ - Old</vt:lpstr>
      <vt:lpstr>PO Generator</vt:lpstr>
      <vt:lpstr>BOQ</vt:lpstr>
      <vt:lpstr>Project Plan</vt:lpstr>
      <vt:lpstr>PO-Security Fence</vt:lpstr>
      <vt:lpstr>PO-NOSA</vt:lpstr>
      <vt:lpstr>PO-ABB Switchgear Installation</vt:lpstr>
      <vt:lpstr>PO-ABB Switchgear</vt:lpstr>
      <vt:lpstr>PO - Fuducia Construction</vt:lpstr>
      <vt:lpstr>PO - Fire Protection</vt:lpstr>
      <vt:lpstr>Data</vt:lpstr>
      <vt:lpstr>Revenue Tracking</vt:lpstr>
      <vt:lpstr>Expenditure Tracking</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'Certificate - Financial Close'!Print_Area</vt:lpstr>
      <vt:lpstr>'PO - Fire Protection'!Print_Area</vt:lpstr>
      <vt:lpstr>'PO - Fuducia Construction'!Print_Area</vt:lpstr>
      <vt:lpstr>'PO Generator'!Print_Area</vt:lpstr>
      <vt:lpstr>'PO-ABB Switchgear'!Print_Area</vt:lpstr>
      <vt:lpstr>'PO-ABB Switchgear Installation'!Print_Area</vt:lpstr>
      <vt:lpstr>'PO-NOSA'!Print_Area</vt:lpstr>
      <vt:lpstr>'PO-Security Fence'!Print_Area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Roedolph Venter</cp:lastModifiedBy>
  <cp:revision/>
  <dcterms:created xsi:type="dcterms:W3CDTF">2020-08-09T08:25:30Z</dcterms:created>
  <dcterms:modified xsi:type="dcterms:W3CDTF">2026-02-25T11:11:03Z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